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6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7.xml" ContentType="application/vnd.openxmlformats-officedocument.drawing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8.xml" ContentType="application/vnd.openxmlformats-officedocument.drawing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drawings/drawing9.xml" ContentType="application/vnd.openxmlformats-officedocument.drawing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drawings/drawing10.xml" ContentType="application/vnd.openxmlformats-officedocument.drawing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drawings/drawing11.xml" ContentType="application/vnd.openxmlformats-officedocument.drawing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C454CC2F-FFD6-4D84-BD61-C7C317BC77D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l local authorities" sheetId="1" r:id="rId1"/>
    <sheet name="East Midlands" sheetId="11" r:id="rId2"/>
    <sheet name="East of England" sheetId="5" r:id="rId3"/>
    <sheet name="Greater London" sheetId="2" r:id="rId4"/>
    <sheet name="North East" sheetId="7" r:id="rId5"/>
    <sheet name="North West" sheetId="9" r:id="rId6"/>
    <sheet name="South East" sheetId="3" r:id="rId7"/>
    <sheet name="South West" sheetId="10" r:id="rId8"/>
    <sheet name="West Midlands" sheetId="4" r:id="rId9"/>
    <sheet name="Yorkshire &amp; Humber" sheetId="6" r:id="rId10"/>
    <sheet name="Scotland" sheetId="8" r:id="rId11"/>
    <sheet name="Immigration status" sheetId="12" r:id="rId12"/>
    <sheet name="List of local authorities" sheetId="13" r:id="rId13"/>
  </sheets>
  <definedNames>
    <definedName name="_xlnm._FilterDatabase" localSheetId="0" hidden="1">'All local authorities'!$A$270:$D$306</definedName>
    <definedName name="_xlnm._FilterDatabase" localSheetId="2" hidden="1">'East of England'!$A$242:$D$267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3" i="6" l="1"/>
  <c r="B100" i="10"/>
  <c r="B41" i="8"/>
  <c r="E15" i="9" l="1"/>
  <c r="H151" i="9"/>
  <c r="E41" i="4"/>
  <c r="E41" i="1" l="1"/>
  <c r="D41" i="1"/>
  <c r="C41" i="1"/>
  <c r="B41" i="1"/>
  <c r="C82" i="3"/>
  <c r="C81" i="3"/>
  <c r="C80" i="3"/>
  <c r="C79" i="3"/>
  <c r="C78" i="3"/>
  <c r="C77" i="3"/>
  <c r="C76" i="3"/>
  <c r="H248" i="5"/>
  <c r="H247" i="5"/>
  <c r="H246" i="5"/>
  <c r="H245" i="5"/>
  <c r="H244" i="5"/>
  <c r="H243" i="5"/>
  <c r="D266" i="5"/>
  <c r="D265" i="5"/>
  <c r="D264" i="5"/>
  <c r="D263" i="5"/>
  <c r="D262" i="5"/>
  <c r="D261" i="5"/>
  <c r="D260" i="5"/>
  <c r="D259" i="5"/>
  <c r="D258" i="5"/>
  <c r="D257" i="5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H200" i="10"/>
  <c r="H199" i="10"/>
  <c r="H198" i="10"/>
  <c r="H197" i="10"/>
  <c r="H196" i="10"/>
  <c r="D220" i="10"/>
  <c r="D219" i="10"/>
  <c r="D218" i="10"/>
  <c r="D217" i="10"/>
  <c r="D216" i="10"/>
  <c r="D215" i="10"/>
  <c r="D214" i="10"/>
  <c r="D213" i="10"/>
  <c r="D212" i="10"/>
  <c r="D211" i="10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H229" i="2"/>
  <c r="E19" i="5"/>
  <c r="D203" i="8"/>
  <c r="D202" i="8"/>
  <c r="H201" i="8"/>
  <c r="D201" i="8"/>
  <c r="H200" i="8"/>
  <c r="D200" i="8"/>
  <c r="H199" i="8"/>
  <c r="D199" i="8"/>
  <c r="D183" i="8"/>
  <c r="D182" i="8"/>
  <c r="D181" i="8"/>
  <c r="D180" i="8"/>
  <c r="D179" i="8"/>
  <c r="D178" i="8"/>
  <c r="D177" i="8"/>
  <c r="H176" i="8"/>
  <c r="D176" i="8"/>
  <c r="H175" i="8"/>
  <c r="D175" i="8"/>
  <c r="H174" i="8"/>
  <c r="D174" i="8"/>
  <c r="H173" i="8"/>
  <c r="D173" i="8"/>
  <c r="H172" i="8"/>
  <c r="D172" i="8"/>
  <c r="D151" i="8"/>
  <c r="D150" i="8"/>
  <c r="D149" i="8"/>
  <c r="D148" i="8"/>
  <c r="D147" i="8"/>
  <c r="D146" i="8"/>
  <c r="H145" i="8"/>
  <c r="D145" i="8"/>
  <c r="H144" i="8"/>
  <c r="D144" i="8"/>
  <c r="H143" i="8"/>
  <c r="D143" i="8"/>
  <c r="H142" i="8"/>
  <c r="D142" i="8"/>
  <c r="H141" i="8"/>
  <c r="D141" i="8"/>
  <c r="D126" i="8"/>
  <c r="D125" i="8"/>
  <c r="D124" i="8"/>
  <c r="D123" i="8"/>
  <c r="D122" i="8"/>
  <c r="D121" i="8"/>
  <c r="D120" i="8"/>
  <c r="D119" i="8"/>
  <c r="D118" i="8"/>
  <c r="H117" i="8"/>
  <c r="D117" i="8"/>
  <c r="H116" i="8"/>
  <c r="D116" i="8"/>
  <c r="H115" i="8"/>
  <c r="D115" i="8"/>
  <c r="H114" i="8"/>
  <c r="D114" i="8"/>
  <c r="H113" i="8"/>
  <c r="D113" i="8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H237" i="6"/>
  <c r="D237" i="6"/>
  <c r="H236" i="6"/>
  <c r="D236" i="6"/>
  <c r="H235" i="6"/>
  <c r="D235" i="6"/>
  <c r="H234" i="6"/>
  <c r="D234" i="6"/>
  <c r="H233" i="6"/>
  <c r="D233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H207" i="6"/>
  <c r="D207" i="6"/>
  <c r="H206" i="6"/>
  <c r="D206" i="6"/>
  <c r="H205" i="6"/>
  <c r="D205" i="6"/>
  <c r="D204" i="6"/>
  <c r="H203" i="6"/>
  <c r="D203" i="6"/>
  <c r="H202" i="6"/>
  <c r="D202" i="6"/>
  <c r="D180" i="6"/>
  <c r="D179" i="6"/>
  <c r="H178" i="6"/>
  <c r="D178" i="6"/>
  <c r="H177" i="6"/>
  <c r="D177" i="6"/>
  <c r="D161" i="6"/>
  <c r="D160" i="6"/>
  <c r="D159" i="6"/>
  <c r="D158" i="6"/>
  <c r="D157" i="6"/>
  <c r="D156" i="6"/>
  <c r="D155" i="6"/>
  <c r="D154" i="6"/>
  <c r="D153" i="6"/>
  <c r="H152" i="6"/>
  <c r="D152" i="6"/>
  <c r="H151" i="6"/>
  <c r="D151" i="6"/>
  <c r="H150" i="6"/>
  <c r="D150" i="6"/>
  <c r="H149" i="6"/>
  <c r="D149" i="6"/>
  <c r="H148" i="6"/>
  <c r="D148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H123" i="6"/>
  <c r="D123" i="6"/>
  <c r="H122" i="6"/>
  <c r="D122" i="6"/>
  <c r="H121" i="6"/>
  <c r="D121" i="6"/>
  <c r="H120" i="6"/>
  <c r="D120" i="6"/>
  <c r="H119" i="6"/>
  <c r="D119" i="6"/>
  <c r="H118" i="6"/>
  <c r="D118" i="6"/>
  <c r="D257" i="4" l="1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H237" i="4"/>
  <c r="D237" i="4"/>
  <c r="H236" i="4"/>
  <c r="D236" i="4"/>
  <c r="H235" i="4"/>
  <c r="D235" i="4"/>
  <c r="H234" i="4"/>
  <c r="D234" i="4"/>
  <c r="H233" i="4"/>
  <c r="D233" i="4"/>
  <c r="H232" i="4"/>
  <c r="D232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H207" i="4"/>
  <c r="D207" i="4"/>
  <c r="H206" i="4"/>
  <c r="D206" i="4"/>
  <c r="H205" i="4"/>
  <c r="D205" i="4"/>
  <c r="H204" i="4"/>
  <c r="D204" i="4"/>
  <c r="H203" i="4"/>
  <c r="D203" i="4"/>
  <c r="H202" i="4"/>
  <c r="D202" i="4"/>
  <c r="D186" i="4"/>
  <c r="D185" i="4"/>
  <c r="D184" i="4"/>
  <c r="D183" i="4"/>
  <c r="D182" i="4"/>
  <c r="D181" i="4"/>
  <c r="D180" i="4"/>
  <c r="D179" i="4"/>
  <c r="D178" i="4"/>
  <c r="H177" i="4"/>
  <c r="D177" i="4"/>
  <c r="H176" i="4"/>
  <c r="D176" i="4"/>
  <c r="H175" i="4"/>
  <c r="D175" i="4"/>
  <c r="D174" i="4"/>
  <c r="H173" i="4"/>
  <c r="D173" i="4"/>
  <c r="D154" i="4"/>
  <c r="D153" i="4"/>
  <c r="D152" i="4"/>
  <c r="D151" i="4"/>
  <c r="D150" i="4"/>
  <c r="H149" i="4"/>
  <c r="D149" i="4"/>
  <c r="H148" i="4"/>
  <c r="D148" i="4"/>
  <c r="H147" i="4"/>
  <c r="D147" i="4"/>
  <c r="H146" i="4"/>
  <c r="D146" i="4"/>
  <c r="D145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H122" i="4"/>
  <c r="D122" i="4"/>
  <c r="H121" i="4"/>
  <c r="D121" i="4"/>
  <c r="H120" i="4"/>
  <c r="D120" i="4"/>
  <c r="H119" i="4"/>
  <c r="D119" i="4"/>
  <c r="H118" i="4"/>
  <c r="D118" i="4"/>
  <c r="D239" i="10"/>
  <c r="D238" i="10"/>
  <c r="D237" i="10"/>
  <c r="D236" i="10"/>
  <c r="D235" i="10"/>
  <c r="D234" i="10"/>
  <c r="D233" i="10"/>
  <c r="D232" i="10"/>
  <c r="D231" i="10"/>
  <c r="H229" i="10"/>
  <c r="D230" i="10"/>
  <c r="H228" i="10"/>
  <c r="D229" i="10"/>
  <c r="H227" i="10"/>
  <c r="D228" i="10"/>
  <c r="D227" i="10"/>
  <c r="D226" i="10"/>
  <c r="H225" i="10"/>
  <c r="D225" i="10"/>
  <c r="D186" i="10"/>
  <c r="D185" i="10"/>
  <c r="D184" i="10"/>
  <c r="D183" i="10"/>
  <c r="D182" i="10"/>
  <c r="D181" i="10"/>
  <c r="D180" i="10"/>
  <c r="D179" i="10"/>
  <c r="D178" i="10"/>
  <c r="D177" i="10"/>
  <c r="D176" i="10"/>
  <c r="D175" i="10"/>
  <c r="D174" i="10"/>
  <c r="H173" i="10"/>
  <c r="D173" i="10"/>
  <c r="H172" i="10"/>
  <c r="D172" i="10"/>
  <c r="H171" i="10"/>
  <c r="D171" i="10"/>
  <c r="H170" i="10"/>
  <c r="D170" i="10"/>
  <c r="D154" i="10"/>
  <c r="D153" i="10"/>
  <c r="D152" i="10"/>
  <c r="D151" i="10"/>
  <c r="D150" i="10"/>
  <c r="D149" i="10"/>
  <c r="H148" i="10"/>
  <c r="D148" i="10"/>
  <c r="H147" i="10"/>
  <c r="D147" i="10"/>
  <c r="H146" i="10"/>
  <c r="D146" i="10"/>
  <c r="H145" i="10"/>
  <c r="D145" i="10"/>
  <c r="H144" i="10"/>
  <c r="D144" i="10"/>
  <c r="D138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H120" i="10"/>
  <c r="D120" i="10"/>
  <c r="D119" i="10"/>
  <c r="H118" i="10"/>
  <c r="D118" i="10"/>
  <c r="H117" i="10"/>
  <c r="D117" i="10"/>
  <c r="H116" i="10"/>
  <c r="D116" i="10"/>
  <c r="H115" i="10"/>
  <c r="D115" i="10"/>
  <c r="D255" i="3"/>
  <c r="D254" i="3"/>
  <c r="D253" i="3"/>
  <c r="D252" i="3"/>
  <c r="D251" i="3"/>
  <c r="D250" i="3"/>
  <c r="D249" i="3"/>
  <c r="D248" i="3"/>
  <c r="D247" i="3"/>
  <c r="D246" i="3"/>
  <c r="H245" i="3"/>
  <c r="D245" i="3"/>
  <c r="H244" i="3"/>
  <c r="D244" i="3"/>
  <c r="H243" i="3"/>
  <c r="D243" i="3"/>
  <c r="H242" i="3"/>
  <c r="D242" i="3"/>
  <c r="H241" i="3"/>
  <c r="D241" i="3"/>
  <c r="H240" i="3"/>
  <c r="D240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H213" i="3"/>
  <c r="D213" i="3"/>
  <c r="H212" i="3"/>
  <c r="D212" i="3"/>
  <c r="H211" i="3"/>
  <c r="D211" i="3"/>
  <c r="H210" i="3"/>
  <c r="D210" i="3"/>
  <c r="H209" i="3"/>
  <c r="D209" i="3"/>
  <c r="H208" i="3"/>
  <c r="D20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H183" i="3"/>
  <c r="D183" i="3"/>
  <c r="H182" i="3"/>
  <c r="D182" i="3"/>
  <c r="H181" i="3"/>
  <c r="D181" i="3"/>
  <c r="H180" i="3"/>
  <c r="D180" i="3"/>
  <c r="D179" i="3"/>
  <c r="D166" i="3"/>
  <c r="D165" i="3"/>
  <c r="D164" i="3"/>
  <c r="D163" i="3"/>
  <c r="D162" i="3"/>
  <c r="D161" i="3"/>
  <c r="D160" i="3"/>
  <c r="D159" i="3"/>
  <c r="D158" i="3"/>
  <c r="D157" i="3"/>
  <c r="D156" i="3"/>
  <c r="H155" i="3"/>
  <c r="D155" i="3"/>
  <c r="H154" i="3"/>
  <c r="D154" i="3"/>
  <c r="H153" i="3"/>
  <c r="D153" i="3"/>
  <c r="H152" i="3"/>
  <c r="D152" i="3"/>
  <c r="H151" i="3"/>
  <c r="D151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H125" i="3"/>
  <c r="D125" i="3"/>
  <c r="H124" i="3"/>
  <c r="D124" i="3"/>
  <c r="H123" i="3"/>
  <c r="D123" i="3"/>
  <c r="H122" i="3"/>
  <c r="D122" i="3"/>
  <c r="H121" i="3"/>
  <c r="D121" i="3"/>
  <c r="H120" i="3"/>
  <c r="D120" i="3"/>
  <c r="D245" i="9"/>
  <c r="D244" i="9"/>
  <c r="D243" i="9"/>
  <c r="D242" i="9"/>
  <c r="D241" i="9"/>
  <c r="D240" i="9"/>
  <c r="D239" i="9"/>
  <c r="D238" i="9"/>
  <c r="D237" i="9"/>
  <c r="D236" i="9"/>
  <c r="D235" i="9"/>
  <c r="D234" i="9"/>
  <c r="D233" i="9"/>
  <c r="D232" i="9"/>
  <c r="H230" i="9"/>
  <c r="D231" i="9"/>
  <c r="H229" i="9"/>
  <c r="D230" i="9"/>
  <c r="H228" i="9"/>
  <c r="D229" i="9"/>
  <c r="H227" i="9"/>
  <c r="D228" i="9"/>
  <c r="D227" i="9"/>
  <c r="H226" i="9"/>
  <c r="D226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H202" i="9"/>
  <c r="D202" i="9"/>
  <c r="H201" i="9"/>
  <c r="D201" i="9"/>
  <c r="H200" i="9"/>
  <c r="D200" i="9"/>
  <c r="H199" i="9"/>
  <c r="D199" i="9"/>
  <c r="H198" i="9"/>
  <c r="D198" i="9"/>
  <c r="H197" i="9"/>
  <c r="D197" i="9"/>
  <c r="H175" i="9"/>
  <c r="D175" i="9"/>
  <c r="D153" i="9"/>
  <c r="D152" i="9"/>
  <c r="D151" i="9"/>
  <c r="H150" i="9"/>
  <c r="D150" i="9"/>
  <c r="H149" i="9"/>
  <c r="D149" i="9"/>
  <c r="H148" i="9"/>
  <c r="D148" i="9"/>
  <c r="H147" i="9"/>
  <c r="D147" i="9"/>
  <c r="H146" i="9"/>
  <c r="D146" i="9"/>
  <c r="D125" i="9"/>
  <c r="D124" i="9"/>
  <c r="D123" i="9"/>
  <c r="D122" i="9"/>
  <c r="H121" i="9"/>
  <c r="D121" i="9"/>
  <c r="H120" i="9"/>
  <c r="D120" i="9"/>
  <c r="H119" i="9"/>
  <c r="D119" i="9"/>
  <c r="H118" i="9"/>
  <c r="D118" i="9"/>
  <c r="H117" i="9"/>
  <c r="D117" i="9"/>
  <c r="D225" i="7"/>
  <c r="D224" i="7"/>
  <c r="D223" i="7"/>
  <c r="D222" i="7"/>
  <c r="H220" i="7"/>
  <c r="D221" i="7"/>
  <c r="H219" i="7"/>
  <c r="D220" i="7"/>
  <c r="H218" i="7"/>
  <c r="D219" i="7"/>
  <c r="H217" i="7"/>
  <c r="D218" i="7"/>
  <c r="D217" i="7"/>
  <c r="H216" i="7"/>
  <c r="D216" i="7"/>
  <c r="H194" i="7"/>
  <c r="D194" i="7"/>
  <c r="D174" i="7"/>
  <c r="D173" i="7"/>
  <c r="D172" i="7"/>
  <c r="H171" i="7"/>
  <c r="D171" i="7"/>
  <c r="H170" i="7"/>
  <c r="D170" i="7"/>
  <c r="H169" i="7"/>
  <c r="D169" i="7"/>
  <c r="D146" i="7"/>
  <c r="D145" i="7"/>
  <c r="D144" i="7"/>
  <c r="D120" i="7"/>
  <c r="H119" i="7"/>
  <c r="D119" i="7"/>
  <c r="H118" i="7"/>
  <c r="D118" i="7"/>
  <c r="H117" i="7"/>
  <c r="D117" i="7"/>
  <c r="H116" i="7"/>
  <c r="D116" i="7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H272" i="2"/>
  <c r="D272" i="2"/>
  <c r="H271" i="2"/>
  <c r="D271" i="2"/>
  <c r="H270" i="2"/>
  <c r="D270" i="2"/>
  <c r="H269" i="2"/>
  <c r="D269" i="2"/>
  <c r="H268" i="2"/>
  <c r="D268" i="2"/>
  <c r="H267" i="2"/>
  <c r="D267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H234" i="2"/>
  <c r="D234" i="2"/>
  <c r="D233" i="2"/>
  <c r="H232" i="2"/>
  <c r="D232" i="2"/>
  <c r="H231" i="2"/>
  <c r="D231" i="2"/>
  <c r="H230" i="2"/>
  <c r="D230" i="2"/>
  <c r="D229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H194" i="2"/>
  <c r="D194" i="2"/>
  <c r="H193" i="2"/>
  <c r="D193" i="2"/>
  <c r="H192" i="2"/>
  <c r="D192" i="2"/>
  <c r="H191" i="2"/>
  <c r="D191" i="2"/>
  <c r="H190" i="2"/>
  <c r="D190" i="2"/>
  <c r="H189" i="2"/>
  <c r="D189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H159" i="2"/>
  <c r="D159" i="2"/>
  <c r="H158" i="2"/>
  <c r="D158" i="2"/>
  <c r="H157" i="2"/>
  <c r="D157" i="2"/>
  <c r="H156" i="2"/>
  <c r="D156" i="2"/>
  <c r="H155" i="2"/>
  <c r="D155" i="2"/>
  <c r="H154" i="2"/>
  <c r="D154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H122" i="2"/>
  <c r="D122" i="2"/>
  <c r="H121" i="2"/>
  <c r="D121" i="2"/>
  <c r="H120" i="2"/>
  <c r="D120" i="2"/>
  <c r="H119" i="2"/>
  <c r="D119" i="2"/>
  <c r="H118" i="2"/>
  <c r="D118" i="2"/>
  <c r="H117" i="2"/>
  <c r="D117" i="2"/>
  <c r="D257" i="11" l="1"/>
  <c r="D256" i="11"/>
  <c r="D255" i="11"/>
  <c r="D254" i="11"/>
  <c r="D253" i="11"/>
  <c r="D252" i="11"/>
  <c r="D251" i="11"/>
  <c r="D250" i="11"/>
  <c r="D249" i="11"/>
  <c r="D248" i="11"/>
  <c r="D247" i="11"/>
  <c r="D246" i="11"/>
  <c r="D245" i="11"/>
  <c r="D244" i="11"/>
  <c r="D243" i="11"/>
  <c r="D242" i="11"/>
  <c r="H241" i="11"/>
  <c r="D241" i="11"/>
  <c r="H240" i="11"/>
  <c r="D240" i="11"/>
  <c r="H239" i="11"/>
  <c r="D239" i="11"/>
  <c r="H238" i="11"/>
  <c r="D238" i="11"/>
  <c r="H237" i="11"/>
  <c r="D237" i="11"/>
  <c r="H236" i="11"/>
  <c r="D236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H209" i="11"/>
  <c r="D209" i="11"/>
  <c r="H208" i="11"/>
  <c r="D208" i="11"/>
  <c r="H207" i="11"/>
  <c r="D207" i="11"/>
  <c r="H206" i="11"/>
  <c r="D206" i="11"/>
  <c r="H205" i="11"/>
  <c r="D205" i="11"/>
  <c r="H204" i="11"/>
  <c r="D204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H179" i="11"/>
  <c r="D179" i="11"/>
  <c r="H178" i="11"/>
  <c r="D178" i="11"/>
  <c r="H177" i="11"/>
  <c r="D177" i="11"/>
  <c r="H176" i="11"/>
  <c r="D176" i="11"/>
  <c r="H175" i="11"/>
  <c r="D175" i="11"/>
  <c r="H174" i="11"/>
  <c r="D174" i="11"/>
  <c r="D154" i="11"/>
  <c r="D153" i="11"/>
  <c r="D152" i="11"/>
  <c r="D151" i="11"/>
  <c r="H150" i="11"/>
  <c r="D150" i="11"/>
  <c r="D149" i="11"/>
  <c r="H148" i="11"/>
  <c r="D148" i="11"/>
  <c r="H147" i="11"/>
  <c r="D147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H122" i="11"/>
  <c r="D122" i="11"/>
  <c r="H121" i="11"/>
  <c r="D121" i="11"/>
  <c r="H120" i="11"/>
  <c r="D120" i="11"/>
  <c r="H119" i="11"/>
  <c r="D119" i="11"/>
  <c r="D118" i="11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H217" i="5"/>
  <c r="D217" i="5"/>
  <c r="H216" i="5"/>
  <c r="D216" i="5"/>
  <c r="H215" i="5"/>
  <c r="D215" i="5"/>
  <c r="H214" i="5"/>
  <c r="D214" i="5"/>
  <c r="H213" i="5"/>
  <c r="D213" i="5"/>
  <c r="H212" i="5"/>
  <c r="D212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H185" i="5"/>
  <c r="D185" i="5"/>
  <c r="H184" i="5"/>
  <c r="D184" i="5"/>
  <c r="H183" i="5"/>
  <c r="D183" i="5"/>
  <c r="H182" i="5"/>
  <c r="D182" i="5"/>
  <c r="H181" i="5"/>
  <c r="D181" i="5"/>
  <c r="H180" i="5"/>
  <c r="D180" i="5"/>
  <c r="D160" i="5"/>
  <c r="D159" i="5"/>
  <c r="D158" i="5"/>
  <c r="D157" i="5"/>
  <c r="D156" i="5"/>
  <c r="D155" i="5"/>
  <c r="H154" i="5"/>
  <c r="D154" i="5"/>
  <c r="D153" i="5"/>
  <c r="H152" i="5"/>
  <c r="D152" i="5"/>
  <c r="H151" i="5"/>
  <c r="D151" i="5"/>
  <c r="H150" i="5"/>
  <c r="D150" i="5"/>
  <c r="D135" i="5"/>
  <c r="D134" i="5"/>
  <c r="D133" i="5"/>
  <c r="D132" i="5"/>
  <c r="D131" i="5"/>
  <c r="D130" i="5"/>
  <c r="D129" i="5"/>
  <c r="D128" i="5"/>
  <c r="D127" i="5"/>
  <c r="D126" i="5"/>
  <c r="D125" i="5"/>
  <c r="H124" i="5"/>
  <c r="D124" i="5"/>
  <c r="H123" i="5"/>
  <c r="D123" i="5"/>
  <c r="H122" i="5"/>
  <c r="D122" i="5"/>
  <c r="H121" i="5"/>
  <c r="D121" i="5"/>
  <c r="H120" i="5"/>
  <c r="D120" i="5"/>
  <c r="H119" i="5"/>
  <c r="D119" i="5"/>
  <c r="H271" i="1"/>
  <c r="H276" i="1"/>
  <c r="H275" i="1"/>
  <c r="H274" i="1"/>
  <c r="H273" i="1"/>
  <c r="H272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H238" i="1"/>
  <c r="H237" i="1"/>
  <c r="H236" i="1"/>
  <c r="H235" i="1"/>
  <c r="H234" i="1"/>
  <c r="H233" i="1"/>
  <c r="D262" i="1"/>
  <c r="D263" i="1"/>
  <c r="D264" i="1"/>
  <c r="D265" i="1"/>
  <c r="D255" i="1"/>
  <c r="D256" i="1"/>
  <c r="D257" i="1"/>
  <c r="D258" i="1"/>
  <c r="D259" i="1"/>
  <c r="D260" i="1"/>
  <c r="D261" i="1"/>
  <c r="D251" i="1"/>
  <c r="D252" i="1"/>
  <c r="D253" i="1"/>
  <c r="D254" i="1"/>
  <c r="D238" i="1"/>
  <c r="D248" i="1"/>
  <c r="D239" i="1"/>
  <c r="D240" i="1"/>
  <c r="D241" i="1"/>
  <c r="D242" i="1"/>
  <c r="D243" i="1"/>
  <c r="D244" i="1"/>
  <c r="D245" i="1"/>
  <c r="D246" i="1"/>
  <c r="D247" i="1"/>
  <c r="D249" i="1"/>
  <c r="D250" i="1"/>
  <c r="D237" i="1"/>
  <c r="D233" i="1"/>
  <c r="D234" i="1"/>
  <c r="D235" i="1"/>
  <c r="D236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H198" i="1"/>
  <c r="H197" i="1"/>
  <c r="H196" i="1"/>
  <c r="H195" i="1"/>
  <c r="H194" i="1"/>
  <c r="H193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H163" i="1"/>
  <c r="H162" i="1"/>
  <c r="H161" i="1"/>
  <c r="H160" i="1"/>
  <c r="H159" i="1"/>
  <c r="H158" i="1"/>
  <c r="H125" i="1"/>
  <c r="H124" i="1"/>
  <c r="H123" i="1"/>
  <c r="H122" i="1"/>
  <c r="H121" i="1"/>
  <c r="H120" i="1"/>
  <c r="E25" i="1"/>
  <c r="C77" i="8"/>
  <c r="C76" i="8"/>
  <c r="C75" i="8"/>
  <c r="C74" i="8"/>
  <c r="C73" i="8"/>
  <c r="C72" i="8"/>
  <c r="C71" i="8"/>
  <c r="C107" i="8"/>
  <c r="C106" i="8"/>
  <c r="C105" i="8"/>
  <c r="C104" i="8"/>
  <c r="C103" i="8"/>
  <c r="C98" i="8"/>
  <c r="C97" i="8"/>
  <c r="C96" i="8"/>
  <c r="C95" i="8"/>
  <c r="C94" i="8"/>
  <c r="C93" i="8"/>
  <c r="C92" i="8"/>
  <c r="C86" i="8"/>
  <c r="C85" i="8"/>
  <c r="C84" i="8"/>
  <c r="C83" i="8"/>
  <c r="C82" i="8"/>
  <c r="B108" i="8"/>
  <c r="B99" i="8"/>
  <c r="C112" i="6"/>
  <c r="C111" i="6"/>
  <c r="C110" i="6"/>
  <c r="C109" i="6"/>
  <c r="C108" i="6"/>
  <c r="C103" i="6"/>
  <c r="C102" i="6"/>
  <c r="C101" i="6"/>
  <c r="C100" i="6"/>
  <c r="C99" i="6"/>
  <c r="C98" i="6"/>
  <c r="C97" i="6"/>
  <c r="C88" i="6"/>
  <c r="C89" i="6"/>
  <c r="C90" i="6"/>
  <c r="C91" i="6"/>
  <c r="C87" i="6"/>
  <c r="C82" i="6"/>
  <c r="C81" i="6"/>
  <c r="C80" i="6"/>
  <c r="C78" i="6"/>
  <c r="C77" i="6"/>
  <c r="C76" i="6"/>
  <c r="B113" i="6"/>
  <c r="B104" i="6"/>
  <c r="C110" i="4"/>
  <c r="C109" i="4"/>
  <c r="C108" i="4"/>
  <c r="C107" i="4"/>
  <c r="C111" i="4"/>
  <c r="C102" i="4"/>
  <c r="C101" i="4"/>
  <c r="C100" i="4"/>
  <c r="C99" i="4"/>
  <c r="C98" i="4"/>
  <c r="C97" i="4"/>
  <c r="C96" i="4"/>
  <c r="C81" i="4"/>
  <c r="C80" i="4"/>
  <c r="C78" i="4"/>
  <c r="C77" i="4"/>
  <c r="C76" i="4"/>
  <c r="C75" i="4"/>
  <c r="B112" i="4"/>
  <c r="B103" i="4"/>
  <c r="C108" i="10"/>
  <c r="C107" i="10"/>
  <c r="C106" i="10"/>
  <c r="C105" i="10"/>
  <c r="C104" i="10"/>
  <c r="C98" i="10"/>
  <c r="C97" i="10"/>
  <c r="C95" i="10"/>
  <c r="C94" i="10"/>
  <c r="C93" i="10"/>
  <c r="C99" i="10"/>
  <c r="C79" i="10"/>
  <c r="C78" i="10"/>
  <c r="C77" i="10"/>
  <c r="C76" i="10"/>
  <c r="C75" i="10"/>
  <c r="C74" i="10"/>
  <c r="C73" i="10"/>
  <c r="C88" i="10"/>
  <c r="C87" i="10"/>
  <c r="C86" i="10"/>
  <c r="C85" i="10"/>
  <c r="C84" i="10"/>
  <c r="B89" i="10"/>
  <c r="B109" i="10"/>
  <c r="C104" i="3"/>
  <c r="C103" i="3"/>
  <c r="C102" i="3"/>
  <c r="C100" i="3"/>
  <c r="C98" i="3"/>
  <c r="C112" i="3"/>
  <c r="C111" i="3"/>
  <c r="C110" i="3"/>
  <c r="C109" i="3"/>
  <c r="C113" i="3"/>
  <c r="C91" i="3"/>
  <c r="C90" i="3"/>
  <c r="C89" i="3"/>
  <c r="C88" i="3"/>
  <c r="C87" i="3"/>
  <c r="B114" i="3"/>
  <c r="B105" i="3"/>
  <c r="B92" i="3"/>
  <c r="B83" i="3"/>
  <c r="C110" i="9"/>
  <c r="C109" i="9"/>
  <c r="C108" i="9"/>
  <c r="C107" i="9"/>
  <c r="C106" i="9"/>
  <c r="C101" i="9"/>
  <c r="C100" i="9"/>
  <c r="C99" i="9"/>
  <c r="C98" i="9"/>
  <c r="C97" i="9"/>
  <c r="C96" i="9"/>
  <c r="C95" i="9"/>
  <c r="B111" i="9"/>
  <c r="B102" i="9"/>
  <c r="C89" i="9"/>
  <c r="C88" i="9"/>
  <c r="C87" i="9"/>
  <c r="C86" i="9"/>
  <c r="C80" i="9"/>
  <c r="C79" i="9"/>
  <c r="C78" i="9"/>
  <c r="C77" i="9"/>
  <c r="C76" i="9"/>
  <c r="C75" i="9"/>
  <c r="B81" i="9"/>
  <c r="C74" i="9"/>
  <c r="C85" i="9"/>
  <c r="B90" i="9"/>
  <c r="C110" i="7"/>
  <c r="C109" i="7"/>
  <c r="C108" i="7"/>
  <c r="C107" i="7"/>
  <c r="C106" i="7"/>
  <c r="B111" i="7"/>
  <c r="C102" i="7"/>
  <c r="C101" i="7"/>
  <c r="C100" i="7"/>
  <c r="C99" i="7"/>
  <c r="C98" i="7"/>
  <c r="C97" i="7"/>
  <c r="C96" i="7"/>
  <c r="B103" i="7"/>
  <c r="C89" i="7"/>
  <c r="C88" i="7"/>
  <c r="C87" i="7"/>
  <c r="C86" i="7"/>
  <c r="C90" i="7"/>
  <c r="B91" i="7"/>
  <c r="B82" i="7"/>
  <c r="C81" i="7"/>
  <c r="C80" i="7"/>
  <c r="C79" i="7"/>
  <c r="C78" i="7"/>
  <c r="C77" i="7"/>
  <c r="C76" i="7"/>
  <c r="C75" i="7"/>
  <c r="B112" i="2"/>
  <c r="C111" i="2"/>
  <c r="C110" i="2"/>
  <c r="C109" i="2"/>
  <c r="C108" i="2"/>
  <c r="C107" i="2"/>
  <c r="C102" i="2"/>
  <c r="C101" i="2"/>
  <c r="C100" i="2"/>
  <c r="C99" i="2"/>
  <c r="C98" i="2"/>
  <c r="C97" i="2"/>
  <c r="B103" i="2"/>
  <c r="B91" i="2"/>
  <c r="B82" i="2"/>
  <c r="C81" i="2"/>
  <c r="C80" i="2"/>
  <c r="C79" i="2"/>
  <c r="C78" i="2"/>
  <c r="C77" i="2"/>
  <c r="C76" i="2"/>
  <c r="C75" i="2"/>
  <c r="C90" i="2"/>
  <c r="C89" i="2"/>
  <c r="C88" i="2"/>
  <c r="C87" i="2"/>
  <c r="C86" i="2"/>
  <c r="B104" i="11"/>
  <c r="C112" i="11"/>
  <c r="C111" i="11"/>
  <c r="C110" i="11"/>
  <c r="C109" i="11"/>
  <c r="C108" i="11"/>
  <c r="B113" i="11"/>
  <c r="C103" i="11"/>
  <c r="C102" i="11"/>
  <c r="C101" i="11"/>
  <c r="C100" i="11"/>
  <c r="C99" i="11"/>
  <c r="C97" i="11"/>
  <c r="C91" i="11"/>
  <c r="C90" i="11"/>
  <c r="C89" i="11"/>
  <c r="C88" i="11"/>
  <c r="C87" i="11"/>
  <c r="C82" i="11"/>
  <c r="C81" i="11"/>
  <c r="C80" i="11"/>
  <c r="C79" i="11"/>
  <c r="C78" i="11"/>
  <c r="C77" i="11"/>
  <c r="C76" i="11"/>
  <c r="C104" i="5"/>
  <c r="C103" i="5"/>
  <c r="C101" i="5"/>
  <c r="C100" i="5"/>
  <c r="C99" i="5"/>
  <c r="C98" i="5"/>
  <c r="B105" i="5"/>
  <c r="C114" i="5"/>
  <c r="C92" i="5"/>
  <c r="C91" i="5"/>
  <c r="C90" i="5"/>
  <c r="C89" i="5"/>
  <c r="C83" i="5"/>
  <c r="C82" i="5"/>
  <c r="C81" i="5"/>
  <c r="C80" i="5"/>
  <c r="C79" i="5"/>
  <c r="C78" i="5"/>
  <c r="C77" i="5"/>
  <c r="B87" i="8"/>
  <c r="B78" i="8"/>
  <c r="B92" i="6"/>
  <c r="B91" i="4"/>
  <c r="C90" i="4"/>
  <c r="C89" i="4"/>
  <c r="C88" i="4"/>
  <c r="C87" i="4"/>
  <c r="C86" i="4"/>
  <c r="B82" i="4"/>
  <c r="B80" i="10"/>
  <c r="B92" i="11"/>
  <c r="B83" i="11"/>
  <c r="B93" i="5"/>
  <c r="C93" i="5" s="1"/>
  <c r="B84" i="5"/>
  <c r="E47" i="8"/>
  <c r="D47" i="8"/>
  <c r="C47" i="8"/>
  <c r="B47" i="8"/>
  <c r="E41" i="8"/>
  <c r="D41" i="8"/>
  <c r="C41" i="8"/>
  <c r="E25" i="8"/>
  <c r="D25" i="8"/>
  <c r="C25" i="8"/>
  <c r="B25" i="8"/>
  <c r="E19" i="8"/>
  <c r="D19" i="8"/>
  <c r="C19" i="8"/>
  <c r="B19" i="8"/>
  <c r="E47" i="6"/>
  <c r="D47" i="6"/>
  <c r="C47" i="6"/>
  <c r="B47" i="6"/>
  <c r="E41" i="6"/>
  <c r="D41" i="6"/>
  <c r="C41" i="6"/>
  <c r="B41" i="6"/>
  <c r="E25" i="6"/>
  <c r="D25" i="6"/>
  <c r="C25" i="6"/>
  <c r="B25" i="6"/>
  <c r="E19" i="6"/>
  <c r="D19" i="6"/>
  <c r="C19" i="6"/>
  <c r="B19" i="6"/>
  <c r="E47" i="4"/>
  <c r="D47" i="4"/>
  <c r="C47" i="4"/>
  <c r="B47" i="4"/>
  <c r="D41" i="4"/>
  <c r="C41" i="4"/>
  <c r="B41" i="4"/>
  <c r="C25" i="4"/>
  <c r="E25" i="4"/>
  <c r="D25" i="4"/>
  <c r="B25" i="4"/>
  <c r="E19" i="4"/>
  <c r="D19" i="4"/>
  <c r="C19" i="4"/>
  <c r="B19" i="4"/>
  <c r="E47" i="10"/>
  <c r="D47" i="10"/>
  <c r="C47" i="10"/>
  <c r="B47" i="10"/>
  <c r="E41" i="10"/>
  <c r="D41" i="10"/>
  <c r="C41" i="10"/>
  <c r="B41" i="10"/>
  <c r="E25" i="10"/>
  <c r="D25" i="10"/>
  <c r="C25" i="10"/>
  <c r="B25" i="10"/>
  <c r="E19" i="10"/>
  <c r="D19" i="10"/>
  <c r="C19" i="10"/>
  <c r="B19" i="10"/>
  <c r="E47" i="3"/>
  <c r="D47" i="3"/>
  <c r="C47" i="3"/>
  <c r="B47" i="3"/>
  <c r="E41" i="3"/>
  <c r="D41" i="3"/>
  <c r="C41" i="3"/>
  <c r="B41" i="3"/>
  <c r="E25" i="3"/>
  <c r="D25" i="3"/>
  <c r="C25" i="3"/>
  <c r="B25" i="3"/>
  <c r="E19" i="3"/>
  <c r="D19" i="3"/>
  <c r="C19" i="3"/>
  <c r="B19" i="3"/>
  <c r="E47" i="9"/>
  <c r="D47" i="9"/>
  <c r="C47" i="9"/>
  <c r="B47" i="9"/>
  <c r="E41" i="9"/>
  <c r="D41" i="9"/>
  <c r="C41" i="9"/>
  <c r="B41" i="9"/>
  <c r="E25" i="9"/>
  <c r="D25" i="9"/>
  <c r="C25" i="9"/>
  <c r="B25" i="9"/>
  <c r="E19" i="9"/>
  <c r="D19" i="9"/>
  <c r="C19" i="9"/>
  <c r="B19" i="9"/>
  <c r="E47" i="7"/>
  <c r="D47" i="7"/>
  <c r="C47" i="7"/>
  <c r="B47" i="7"/>
  <c r="E41" i="7"/>
  <c r="D41" i="7"/>
  <c r="C41" i="7"/>
  <c r="B41" i="7"/>
  <c r="B25" i="7"/>
  <c r="E25" i="7"/>
  <c r="D25" i="7"/>
  <c r="C25" i="7"/>
  <c r="E19" i="7"/>
  <c r="D19" i="7"/>
  <c r="C19" i="7"/>
  <c r="B19" i="7"/>
  <c r="E47" i="2"/>
  <c r="D47" i="2"/>
  <c r="C47" i="2"/>
  <c r="B47" i="2"/>
  <c r="E41" i="2"/>
  <c r="D41" i="2"/>
  <c r="C41" i="2"/>
  <c r="B41" i="2"/>
  <c r="E25" i="2"/>
  <c r="D25" i="2"/>
  <c r="C25" i="2"/>
  <c r="B25" i="2"/>
  <c r="E19" i="2"/>
  <c r="D19" i="2"/>
  <c r="C19" i="2"/>
  <c r="B19" i="2"/>
  <c r="E47" i="11"/>
  <c r="D47" i="11"/>
  <c r="C47" i="11"/>
  <c r="B47" i="11"/>
  <c r="E41" i="11"/>
  <c r="D41" i="11"/>
  <c r="C41" i="11"/>
  <c r="B41" i="11"/>
  <c r="D25" i="11"/>
  <c r="E25" i="11"/>
  <c r="C25" i="11"/>
  <c r="B25" i="11"/>
  <c r="E19" i="11"/>
  <c r="D19" i="11"/>
  <c r="C19" i="11"/>
  <c r="B19" i="11"/>
  <c r="E47" i="5"/>
  <c r="D47" i="5"/>
  <c r="C47" i="5"/>
  <c r="B47" i="5"/>
  <c r="E47" i="1"/>
  <c r="D47" i="1"/>
  <c r="C47" i="1"/>
  <c r="B25" i="1"/>
  <c r="B47" i="1"/>
  <c r="E41" i="5"/>
  <c r="D41" i="5"/>
  <c r="C41" i="5"/>
  <c r="B41" i="5"/>
  <c r="E25" i="5"/>
  <c r="D25" i="5"/>
  <c r="C25" i="5"/>
  <c r="B25" i="5"/>
  <c r="D19" i="5"/>
  <c r="C19" i="5"/>
  <c r="B19" i="5"/>
  <c r="B92" i="1"/>
  <c r="C91" i="1"/>
  <c r="C90" i="1"/>
  <c r="C89" i="1"/>
  <c r="C88" i="1"/>
  <c r="C87" i="1"/>
  <c r="B83" i="1"/>
  <c r="C82" i="1"/>
  <c r="C81" i="1"/>
  <c r="C80" i="1"/>
  <c r="C79" i="1"/>
  <c r="C78" i="1"/>
  <c r="C77" i="1"/>
  <c r="C76" i="1"/>
  <c r="E19" i="1"/>
  <c r="D19" i="1"/>
  <c r="C19" i="1"/>
  <c r="B19" i="1"/>
  <c r="D25" i="1"/>
  <c r="C25" i="1"/>
  <c r="C87" i="8" l="1"/>
  <c r="C112" i="2"/>
  <c r="C99" i="8"/>
  <c r="C83" i="6"/>
  <c r="C100" i="10"/>
  <c r="C111" i="9"/>
  <c r="C111" i="7"/>
  <c r="C103" i="2"/>
  <c r="C113" i="11"/>
  <c r="C104" i="11"/>
  <c r="C105" i="5"/>
  <c r="C90" i="9"/>
  <c r="C81" i="9"/>
  <c r="C103" i="7"/>
  <c r="C92" i="3"/>
  <c r="C82" i="7"/>
  <c r="C84" i="5"/>
  <c r="C108" i="8"/>
  <c r="C78" i="8"/>
  <c r="C113" i="6"/>
  <c r="C104" i="6"/>
  <c r="C92" i="6"/>
  <c r="C112" i="4"/>
  <c r="C103" i="4"/>
  <c r="C82" i="4"/>
  <c r="C91" i="4"/>
  <c r="C109" i="10"/>
  <c r="C80" i="10"/>
  <c r="C89" i="10"/>
  <c r="C114" i="3"/>
  <c r="C105" i="3"/>
  <c r="C83" i="3"/>
  <c r="C102" i="9"/>
  <c r="C91" i="7"/>
  <c r="C82" i="2"/>
  <c r="C91" i="2"/>
  <c r="C92" i="11"/>
  <c r="C83" i="11"/>
  <c r="C92" i="1"/>
  <c r="C83" i="1"/>
  <c r="E37" i="6" l="1"/>
  <c r="E36" i="6"/>
  <c r="E15" i="6"/>
  <c r="E14" i="6"/>
  <c r="D14" i="6"/>
  <c r="D62" i="1"/>
  <c r="D63" i="1"/>
  <c r="E63" i="1"/>
  <c r="B62" i="1"/>
  <c r="B63" i="1"/>
  <c r="E62" i="7"/>
  <c r="E63" i="11"/>
  <c r="D63" i="11"/>
  <c r="C63" i="11"/>
  <c r="B63" i="11"/>
  <c r="E62" i="11"/>
  <c r="D62" i="11"/>
  <c r="C62" i="11"/>
  <c r="B62" i="11"/>
  <c r="E37" i="11"/>
  <c r="D37" i="11"/>
  <c r="C37" i="11"/>
  <c r="B37" i="11"/>
  <c r="E36" i="11"/>
  <c r="D36" i="11"/>
  <c r="C36" i="11"/>
  <c r="B36" i="11"/>
  <c r="E15" i="11"/>
  <c r="D15" i="11"/>
  <c r="C15" i="11"/>
  <c r="B15" i="11"/>
  <c r="E14" i="11"/>
  <c r="D14" i="11"/>
  <c r="C14" i="11"/>
  <c r="B14" i="11"/>
  <c r="D14" i="9" l="1"/>
  <c r="E37" i="5"/>
  <c r="D37" i="5"/>
  <c r="E36" i="5"/>
  <c r="D36" i="5"/>
  <c r="E63" i="3"/>
  <c r="D63" i="3"/>
  <c r="E62" i="3"/>
  <c r="D62" i="3"/>
  <c r="E37" i="3"/>
  <c r="D37" i="3"/>
  <c r="E36" i="3"/>
  <c r="D36" i="3"/>
  <c r="E15" i="3"/>
  <c r="E14" i="3"/>
  <c r="D15" i="3"/>
  <c r="D14" i="3"/>
  <c r="E63" i="2"/>
  <c r="D63" i="2"/>
  <c r="E62" i="2"/>
  <c r="D62" i="2"/>
  <c r="E37" i="2"/>
  <c r="D37" i="2"/>
  <c r="E36" i="2"/>
  <c r="D36" i="2"/>
  <c r="E15" i="2"/>
  <c r="D15" i="2"/>
  <c r="E14" i="2"/>
  <c r="D14" i="2"/>
  <c r="D37" i="10"/>
  <c r="C37" i="10"/>
  <c r="D36" i="10"/>
  <c r="C36" i="10"/>
  <c r="D63" i="10"/>
  <c r="C63" i="10"/>
  <c r="D62" i="10"/>
  <c r="C62" i="10"/>
  <c r="D15" i="10"/>
  <c r="C15" i="10"/>
  <c r="D14" i="10"/>
  <c r="C14" i="10"/>
  <c r="E37" i="9"/>
  <c r="D37" i="9"/>
  <c r="C37" i="9"/>
  <c r="E36" i="9"/>
  <c r="D36" i="9"/>
  <c r="C36" i="9"/>
  <c r="D15" i="9"/>
  <c r="C15" i="9"/>
  <c r="E14" i="9"/>
  <c r="C14" i="9"/>
  <c r="E37" i="8"/>
  <c r="D37" i="8"/>
  <c r="C37" i="8"/>
  <c r="E36" i="8"/>
  <c r="D36" i="8"/>
  <c r="C36" i="8"/>
  <c r="E15" i="8"/>
  <c r="D15" i="8"/>
  <c r="C15" i="8"/>
  <c r="E14" i="8"/>
  <c r="D14" i="8"/>
  <c r="C14" i="8"/>
  <c r="E15" i="7"/>
  <c r="D15" i="7"/>
  <c r="C15" i="7"/>
  <c r="E14" i="7"/>
  <c r="D14" i="7"/>
  <c r="C14" i="7"/>
  <c r="E37" i="7"/>
  <c r="D37" i="7"/>
  <c r="C37" i="7"/>
  <c r="E36" i="7"/>
  <c r="D36" i="7"/>
  <c r="C36" i="7"/>
  <c r="E63" i="7"/>
  <c r="D63" i="7"/>
  <c r="C63" i="7"/>
  <c r="D62" i="7"/>
  <c r="C62" i="7"/>
  <c r="D37" i="6"/>
  <c r="C37" i="6"/>
  <c r="D36" i="6"/>
  <c r="C36" i="6"/>
  <c r="D15" i="6"/>
  <c r="C15" i="6"/>
  <c r="C14" i="6"/>
  <c r="E63" i="5"/>
  <c r="D63" i="5"/>
  <c r="C63" i="5"/>
  <c r="D62" i="5"/>
  <c r="C62" i="5"/>
  <c r="C37" i="5"/>
  <c r="C36" i="5"/>
  <c r="E15" i="5"/>
  <c r="D15" i="5"/>
  <c r="C15" i="5"/>
  <c r="E14" i="5"/>
  <c r="D14" i="5"/>
  <c r="C14" i="5"/>
  <c r="E63" i="4"/>
  <c r="D63" i="4"/>
  <c r="C63" i="4"/>
  <c r="E62" i="4"/>
  <c r="D62" i="4"/>
  <c r="C62" i="4"/>
  <c r="E37" i="4"/>
  <c r="D37" i="4"/>
  <c r="C37" i="4"/>
  <c r="E36" i="4"/>
  <c r="D36" i="4"/>
  <c r="C36" i="4"/>
  <c r="E15" i="4"/>
  <c r="E14" i="4"/>
  <c r="D15" i="4"/>
  <c r="D14" i="4"/>
  <c r="C15" i="4"/>
  <c r="C14" i="4"/>
  <c r="C63" i="3"/>
  <c r="C62" i="3"/>
  <c r="C37" i="3"/>
  <c r="C36" i="3"/>
  <c r="C15" i="3"/>
  <c r="C14" i="3"/>
  <c r="C63" i="2"/>
  <c r="C62" i="2"/>
  <c r="C37" i="2"/>
  <c r="C36" i="2"/>
  <c r="C15" i="2"/>
  <c r="C14" i="2"/>
  <c r="B63" i="10"/>
  <c r="B62" i="10"/>
  <c r="B37" i="10"/>
  <c r="B36" i="10"/>
  <c r="B15" i="10"/>
  <c r="B14" i="10"/>
  <c r="B37" i="9"/>
  <c r="B36" i="9"/>
  <c r="B15" i="9"/>
  <c r="B14" i="9"/>
  <c r="B37" i="8"/>
  <c r="B36" i="8"/>
  <c r="B15" i="8"/>
  <c r="B14" i="8"/>
  <c r="B37" i="7"/>
  <c r="B36" i="7"/>
  <c r="B15" i="7"/>
  <c r="B14" i="7"/>
  <c r="B37" i="6"/>
  <c r="B36" i="6"/>
  <c r="E14" i="10"/>
  <c r="E15" i="10"/>
  <c r="E63" i="10"/>
  <c r="E62" i="10"/>
  <c r="E37" i="10"/>
  <c r="E36" i="10"/>
  <c r="B15" i="6"/>
  <c r="B14" i="6"/>
  <c r="B37" i="5"/>
  <c r="B36" i="5"/>
  <c r="B15" i="5"/>
  <c r="B14" i="5"/>
  <c r="B37" i="4"/>
  <c r="B36" i="4"/>
  <c r="B15" i="4"/>
  <c r="B14" i="4"/>
  <c r="B63" i="3"/>
  <c r="B62" i="3"/>
  <c r="B37" i="3"/>
  <c r="B36" i="3"/>
  <c r="B15" i="3"/>
  <c r="B14" i="3"/>
  <c r="B62" i="2"/>
  <c r="B37" i="2"/>
  <c r="B36" i="2"/>
  <c r="B15" i="2"/>
  <c r="B14" i="2"/>
  <c r="C14" i="1"/>
  <c r="C15" i="1"/>
  <c r="C36" i="1"/>
  <c r="C37" i="1"/>
  <c r="C62" i="1"/>
  <c r="C63" i="1"/>
  <c r="E37" i="1"/>
  <c r="E36" i="1"/>
  <c r="E15" i="1"/>
  <c r="E14" i="1"/>
  <c r="D37" i="1"/>
  <c r="D36" i="1"/>
  <c r="D15" i="1"/>
  <c r="D14" i="1"/>
  <c r="B63" i="7"/>
  <c r="B62" i="7"/>
  <c r="B63" i="5"/>
  <c r="B62" i="5"/>
  <c r="B63" i="4"/>
  <c r="B62" i="4"/>
  <c r="B63" i="2"/>
  <c r="B37" i="1"/>
  <c r="B36" i="1"/>
  <c r="B15" i="1"/>
  <c r="B14" i="1"/>
</calcChain>
</file>

<file path=xl/sharedStrings.xml><?xml version="1.0" encoding="utf-8"?>
<sst xmlns="http://schemas.openxmlformats.org/spreadsheetml/2006/main" count="4404" uniqueCount="267">
  <si>
    <t>Description - all local authorities 2021-2022</t>
  </si>
  <si>
    <t>Q1 21/22</t>
  </si>
  <si>
    <t>Q2 21/22</t>
  </si>
  <si>
    <t>Q3 21/22</t>
  </si>
  <si>
    <t>Q4 21/22</t>
  </si>
  <si>
    <t>Number of local authorities subscribing at end of quarter</t>
  </si>
  <si>
    <t>Number of local authorities with data uploaded at end of quarter - all case types</t>
  </si>
  <si>
    <t>Number of local authorities with data for family cases</t>
  </si>
  <si>
    <t>Number of local authorities with data for adult cases</t>
  </si>
  <si>
    <t>Number of local authorities with data for children / care leaver cases</t>
  </si>
  <si>
    <t xml:space="preserve">Family cases </t>
  </si>
  <si>
    <t>Number of financially supported households at end of quarter</t>
  </si>
  <si>
    <t>Number of dependants of financially supported households at end of quarter</t>
  </si>
  <si>
    <t>Total weekly spend for the cases supported at the end of the quarter</t>
  </si>
  <si>
    <t>Average annual cost per case</t>
  </si>
  <si>
    <t>Average annual cost (weekly spend X 52)</t>
  </si>
  <si>
    <t>Average number of days on support, cases open at end of quarter</t>
  </si>
  <si>
    <t>Of row 11 - Number without EEA status / nationality and unresolved</t>
  </si>
  <si>
    <t>Of row 17 - Number supported for over 1000 days</t>
  </si>
  <si>
    <t>Percentage supported for over 1000 days</t>
  </si>
  <si>
    <t xml:space="preserve">Of row 11 - Number without EEA status / nationality and resolved </t>
  </si>
  <si>
    <t>Of row 11 - Number with EEA-related immigration status recorded</t>
  </si>
  <si>
    <t>Of row 20 - Number where EEA related immigration status is 'pre-settled'</t>
  </si>
  <si>
    <t>Of row 11 - Number with EEA nationality but no EEA related status</t>
  </si>
  <si>
    <t>Of row 11 - No EEA nationality, no EEA related status, but EEA application recorded</t>
  </si>
  <si>
    <t>Percentage of EEA status / nationality households / all households</t>
  </si>
  <si>
    <t>Of row 11 - Number of households awaiting first immigration status check at end of quarter</t>
  </si>
  <si>
    <t>Total number of referrals per quarter</t>
  </si>
  <si>
    <t>Total number of new cases taken on for support within quarter</t>
  </si>
  <si>
    <t>Total number of supported cases closed within quarter</t>
  </si>
  <si>
    <t>Adult cases</t>
  </si>
  <si>
    <t>Of row 34 - Number without EEA status / nationality and unresolved</t>
  </si>
  <si>
    <t>Of row 39 - Number supported for over 1000 days</t>
  </si>
  <si>
    <t xml:space="preserve">Of row 34 - Number without EEA status / nationality and resolved </t>
  </si>
  <si>
    <t>Of row 34 - Number with EEA-related immigration status recorded</t>
  </si>
  <si>
    <t>Of row 43 - Number where EEA related immigration status is 'pre-settled'</t>
  </si>
  <si>
    <t>Of row 34 - Number with EEA nationality but no EEA related status</t>
  </si>
  <si>
    <t>Of row 34 - No EEA nationality, no EEA related status, but EEA application recorded</t>
  </si>
  <si>
    <t>Looked after children and care leavers (excl over 25's)</t>
  </si>
  <si>
    <t xml:space="preserve">Number of open cases </t>
  </si>
  <si>
    <t>Of which under age of 18</t>
  </si>
  <si>
    <t>Of which aged 18-20</t>
  </si>
  <si>
    <t>Of which aged 21-24</t>
  </si>
  <si>
    <t>Of number of open cases (row 56), number financially supported</t>
  </si>
  <si>
    <t>Total weekly spend for the cases financially supported at end of quarter</t>
  </si>
  <si>
    <t>Total number of new cases taken on for financial support within quarter</t>
  </si>
  <si>
    <t>Total number of new cases recorded within the quarter</t>
  </si>
  <si>
    <t xml:space="preserve">Total number of cases closed </t>
  </si>
  <si>
    <t>Closure reason family cases - all closures in the year</t>
  </si>
  <si>
    <t>Total</t>
  </si>
  <si>
    <t>Percentage</t>
  </si>
  <si>
    <t>Accessed Asylum Support</t>
  </si>
  <si>
    <t>Deceased</t>
  </si>
  <si>
    <t>Detained / imprisoned</t>
  </si>
  <si>
    <t>Granted Leave to Remain</t>
  </si>
  <si>
    <t>Granted Leave to Remain - EEA status</t>
  </si>
  <si>
    <t xml:space="preserve">Left the UK (including HO / LA funding) </t>
  </si>
  <si>
    <t>No longer eligible</t>
  </si>
  <si>
    <t xml:space="preserve">Closure reason for family cases - breakdown for 'No longer eligible' </t>
  </si>
  <si>
    <t>Not eligible, LTR with NRPF, alternative support accessed</t>
  </si>
  <si>
    <t>Not eligible, EEA status recorded, alternative support accessed</t>
  </si>
  <si>
    <t xml:space="preserve">Not eligible, no EEA status, accessed employment / benefits </t>
  </si>
  <si>
    <t>Not eligible, no EEA status, accessed supported via friends / family / VCS</t>
  </si>
  <si>
    <t>Not eligible, no EEA status, 'other'</t>
  </si>
  <si>
    <t>Closure reason adult cases - all closures in the year</t>
  </si>
  <si>
    <t xml:space="preserve">Closure reason for adult cases - breakdown for 'No longer eligible' </t>
  </si>
  <si>
    <t>See 'immigration status' worksheet for further explanation of immigration values</t>
  </si>
  <si>
    <t>Immigration status families - financially supported as of 31 March 2022</t>
  </si>
  <si>
    <t>Summary descriptor</t>
  </si>
  <si>
    <t>Summary of immigration status, families - open 31 March 2022</t>
  </si>
  <si>
    <t>Number</t>
  </si>
  <si>
    <t>Illegal entrant / Deception - claimed asylum</t>
  </si>
  <si>
    <t>Asylum seeker / asylum seeker ARE</t>
  </si>
  <si>
    <t>In Country Asylum Seeker</t>
  </si>
  <si>
    <t>British</t>
  </si>
  <si>
    <t>Overstayer / Breach - claimed asylum</t>
  </si>
  <si>
    <t xml:space="preserve">EEA status / nationality </t>
  </si>
  <si>
    <t>Port Case</t>
  </si>
  <si>
    <t>Leave to Remain (LTR) with NRPF</t>
  </si>
  <si>
    <t>Leave to Remain (LTR) with recourse</t>
  </si>
  <si>
    <t>EEA / family member (resident Dec 20) - unlawfully present</t>
  </si>
  <si>
    <t>No current immigration permission</t>
  </si>
  <si>
    <t>EEA derived right of residence (other)</t>
  </si>
  <si>
    <t>EEA derived right of residence (Zambrano) - documented</t>
  </si>
  <si>
    <t>EEA family permit</t>
  </si>
  <si>
    <t>EEA national</t>
  </si>
  <si>
    <t>EEA national - no record on HO systems</t>
  </si>
  <si>
    <t>EUSS application submitted pre-30 June 2021</t>
  </si>
  <si>
    <t>EUSS family member permit</t>
  </si>
  <si>
    <t>Family member of EEA national</t>
  </si>
  <si>
    <t>Pre-settled status LTR (EUSS)</t>
  </si>
  <si>
    <t>Settled status ILR (EUSS)</t>
  </si>
  <si>
    <t>No EEA nationality, no EEA related status, but EEA application recorded</t>
  </si>
  <si>
    <t>EEA nationality but no EEA related immigration status</t>
  </si>
  <si>
    <t>Leave to Enter as visitor - NRPF</t>
  </si>
  <si>
    <t>Limited leave with NRPF (10 year route)</t>
  </si>
  <si>
    <t>Limited leave with NRPF (other)</t>
  </si>
  <si>
    <t>DDV Concession</t>
  </si>
  <si>
    <t>Humanitarian Protection</t>
  </si>
  <si>
    <t>Indefinite Leave</t>
  </si>
  <si>
    <t>Limited leave with recourse to public funds (10 year route)</t>
  </si>
  <si>
    <t>Limited leave with recourse to public funds (following COC)</t>
  </si>
  <si>
    <t>Limited leave with recourse to public funds (other)</t>
  </si>
  <si>
    <t>Refugee Status</t>
  </si>
  <si>
    <t>UASC leave</t>
  </si>
  <si>
    <t xml:space="preserve">Illegal entrant / Deception - did not claim asylum </t>
  </si>
  <si>
    <t>No record held by Home Office</t>
  </si>
  <si>
    <t>Overstayer / Breach - did not claim asylum</t>
  </si>
  <si>
    <t>Immigration status not confirmed - non EEA nationality</t>
  </si>
  <si>
    <t>Awaiting first immigration status check as of 31 March 2022</t>
  </si>
  <si>
    <t xml:space="preserve">Not applicable </t>
  </si>
  <si>
    <t>N/A</t>
  </si>
  <si>
    <t>Immigration status adults - financially supported as of 31 March 2022</t>
  </si>
  <si>
    <t>Summary of immigration status, adults - open 31 March 2022</t>
  </si>
  <si>
    <t xml:space="preserve">Number </t>
  </si>
  <si>
    <t>EEA / family member (resident Dec 20)- unlawfully present</t>
  </si>
  <si>
    <t>EEA National / Dependant</t>
  </si>
  <si>
    <t>Family member of EEA national - no record on HO systems</t>
  </si>
  <si>
    <t>Discretionary Leave (DL) - other</t>
  </si>
  <si>
    <t>looked after children and care leavers - open cases as of 31 March 2022</t>
  </si>
  <si>
    <t>Summary of immigration status, LAC / LC - open 31 March 2022</t>
  </si>
  <si>
    <t>EEA permanent residence</t>
  </si>
  <si>
    <t>Limited Leave (including 3C applications and visas)</t>
  </si>
  <si>
    <t>Discretionary leave - trafficking</t>
  </si>
  <si>
    <t>Immigration status not confirmed - not EEA nationality</t>
  </si>
  <si>
    <t>Not applicable</t>
  </si>
  <si>
    <t>Immigration status families - all referrals for the year</t>
  </si>
  <si>
    <t>Summary of immigration status, families - all referrals for the year</t>
  </si>
  <si>
    <t>EEA derived right of residence (Zambrano) - not documented</t>
  </si>
  <si>
    <t>Hong Kong BN(O) Visa</t>
  </si>
  <si>
    <t>Immigration status check not completed as of 31 March 2022</t>
  </si>
  <si>
    <t>Immigration status adults - all referrals for the year</t>
  </si>
  <si>
    <t>Summary of immigration status, adults - all referrals for the year</t>
  </si>
  <si>
    <t>Status not confirmed - not EEA nationality</t>
  </si>
  <si>
    <t>Description - all local authorities East Midlands 2021-2022</t>
  </si>
  <si>
    <t>Family cases</t>
  </si>
  <si>
    <t>Of row 21 - Number where EEA related immigration status is 'pre-settled'</t>
  </si>
  <si>
    <t>Looked after children and care leavers</t>
  </si>
  <si>
    <t>Illegal entrant / Deception - did not claim asylum</t>
  </si>
  <si>
    <t>Illegal entrant / Deception  - did not claim asylum</t>
  </si>
  <si>
    <t>Overstayer / Breach  - did not claim asylum</t>
  </si>
  <si>
    <t>Description - all local authorities East of England 2021-2022</t>
  </si>
  <si>
    <t>Number of financially supported households at end of quarter with a blank Immigration status</t>
  </si>
  <si>
    <t xml:space="preserve">Indefinite Leave </t>
  </si>
  <si>
    <t>Description - all local authorities London 2021-2022</t>
  </si>
  <si>
    <t xml:space="preserve"> </t>
  </si>
  <si>
    <t>Summary</t>
  </si>
  <si>
    <t>Description - all local authorities North East 2021-2022</t>
  </si>
  <si>
    <t>Description - all local authorities North West 2021-2022</t>
  </si>
  <si>
    <t>Description - all local authorities South East 2021-2022</t>
  </si>
  <si>
    <t>Description - all local authorities South West 2021-2022</t>
  </si>
  <si>
    <t>Description - all local authorities West Midlands 2021-2022</t>
  </si>
  <si>
    <t>Description - all local authorities Yorkshire &amp; the Humber 2021-2022</t>
  </si>
  <si>
    <t>Description - all local authorities Scotland 2021-2022</t>
  </si>
  <si>
    <t>n/a</t>
  </si>
  <si>
    <t>EEA application recorded - non-EEA national (no EEA-related status)</t>
  </si>
  <si>
    <t>Explanation as to how immigration status values for the lead adult (principal applicant) are being counted</t>
  </si>
  <si>
    <t>Immigration status values from NRPF Connect</t>
  </si>
  <si>
    <t>How the immigration status information is filtered to determine the 'summary value' - if applicable</t>
  </si>
  <si>
    <t>Summary value for the data report</t>
  </si>
  <si>
    <t>Further comments or explanation about limitations</t>
  </si>
  <si>
    <t>Immigration status on NRPF Connect is 'illegal entrant / deception' but radio for 'asylum claim recorded?' is 'yes'</t>
  </si>
  <si>
    <t>Not possible to determine stage of asylum application process, appeal rights exhausted dates not always added</t>
  </si>
  <si>
    <t>Immigration status on NRPF Connect is 'overstayer / breach' but radio for 'asylum claim recorded?' is 'yes'</t>
  </si>
  <si>
    <t>Would not expect British nationals to be recorded, could be returning British Nationals or citizenship was not clear</t>
  </si>
  <si>
    <t>Was present in UK before 31 December 2020 - this value no longer exists on NRPF Connect</t>
  </si>
  <si>
    <t>Likely applying under the EUSS</t>
  </si>
  <si>
    <t>Not cross-referencing with outcome of application, which may not always be recorded on NRPF Connect</t>
  </si>
  <si>
    <t>Based on the immigration application on NRPF connect being under the EUSS</t>
  </si>
  <si>
    <t>Has an EEA nationality - but no record of an EUSS application being made</t>
  </si>
  <si>
    <t>Not clear whether this is an arrival after 1 January 2021 or someone who is able to make a late EUSS application</t>
  </si>
  <si>
    <t>Home Office will use this value for EEA nationals if there is no record of the EEA national being in the UK before 31 December 2020</t>
  </si>
  <si>
    <t>Assume Change of Conditions process will be used if destitute</t>
  </si>
  <si>
    <t xml:space="preserve">May not always be clear what route this will relate to - e.g. UK ancestry visa, spouse or partner visa, etc. </t>
  </si>
  <si>
    <t>Not always possible to determine if this is after a Change of Conditions Process</t>
  </si>
  <si>
    <t xml:space="preserve">May not always be clear what route this will relate to. </t>
  </si>
  <si>
    <t>Not clear whether this form of leave is continuing</t>
  </si>
  <si>
    <t>Immigration status on NRPF Connect is 'illegal entrant / deception' but radio for 'asylum claim recorded?' is 'no'</t>
  </si>
  <si>
    <t>Likely to be making a non-asylum immigration application</t>
  </si>
  <si>
    <t>This value is no longer active on NRPF Connect</t>
  </si>
  <si>
    <t>Immigration status on NRPF Connect is 'overstayer / breach' but radio for 'asylum claim recorded?' is 'no'</t>
  </si>
  <si>
    <t>Using the 'immigration status not confirmed' but discounting cases with an EEA nationality</t>
  </si>
  <si>
    <t>Had not yet received the fist status check</t>
  </si>
  <si>
    <t>Local Authority</t>
  </si>
  <si>
    <t>Region</t>
  </si>
  <si>
    <t>Derby</t>
  </si>
  <si>
    <t>East Midlands</t>
  </si>
  <si>
    <t>Leicester</t>
  </si>
  <si>
    <t>Northamptonshire</t>
  </si>
  <si>
    <t>Nottingham City</t>
  </si>
  <si>
    <t>Nottinghamshire</t>
  </si>
  <si>
    <t>Bedford</t>
  </si>
  <si>
    <t>East of England</t>
  </si>
  <si>
    <t>Essex</t>
  </si>
  <si>
    <t>Luton</t>
  </si>
  <si>
    <t>Norfolk</t>
  </si>
  <si>
    <t>Thurrock</t>
  </si>
  <si>
    <t>Barking and Dagenham</t>
  </si>
  <si>
    <t>London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</si>
  <si>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</si>
  <si>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</si>
  <si>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</si>
  <si>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</si>
  <si>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</si>
  <si>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</si>
  <si>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</si>
  <si>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</si>
  <si>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</si>
  <si>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</si>
  <si>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</si>
  <si>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</si>
  <si>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</si>
  <si>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</si>
  <si>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</si>
  <si>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</si>
  <si>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</si>
  <si>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</si>
  <si>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Lambeth</t>
  </si>
  <si>
    <t>Lewisham</t>
  </si>
  <si>
    <t>Merton</t>
  </si>
  <si>
    <t>Newham</t>
  </si>
  <si>
    <t>Redbridge</t>
  </si>
  <si>
    <t>Southwark</t>
  </si>
  <si>
    <t>Sutton</t>
  </si>
  <si>
    <t>Tower Hamlets</t>
  </si>
  <si>
    <t>Waltham Forest</t>
  </si>
  <si>
    <t>Wandsworth</t>
  </si>
  <si>
    <t>Westminster</t>
  </si>
  <si>
    <t>Durham</t>
  </si>
  <si>
    <t>North East</t>
  </si>
  <si>
    <t>Gateshead</t>
  </si>
  <si>
    <t>Middlesbrough</t>
  </si>
  <si>
    <t>Newcastle</t>
  </si>
  <si>
    <t>Lancashire - Adults</t>
  </si>
  <si>
    <t>North West</t>
  </si>
  <si>
    <t>Manchester</t>
  </si>
  <si>
    <t>Salford</t>
  </si>
  <si>
    <t>Edinburgh</t>
  </si>
  <si>
    <t>Scotland</t>
  </si>
  <si>
    <t>Glasgow</t>
  </si>
  <si>
    <t>Brighton and Hove</t>
  </si>
  <si>
    <t>South East</t>
  </si>
  <si>
    <t>Buckinghamshire</t>
  </si>
  <si>
    <t>East Sussex</t>
  </si>
  <si>
    <t>Hampshire</t>
  </si>
  <si>
    <t>Kent</t>
  </si>
  <si>
    <t>Medway</t>
  </si>
  <si>
    <t>Milton Keynes</t>
  </si>
  <si>
    <t>Oxfordshire</t>
  </si>
  <si>
    <t>Portsmouth</t>
  </si>
  <si>
    <t>Surrey</t>
  </si>
  <si>
    <t>West Sussex</t>
  </si>
  <si>
    <t>Bristol</t>
  </si>
  <si>
    <t>South West</t>
  </si>
  <si>
    <t>Gloucestershire</t>
  </si>
  <si>
    <t>Birmingham</t>
  </si>
  <si>
    <t>West Midlands</t>
  </si>
  <si>
    <t>Coventry</t>
  </si>
  <si>
    <t>Dudley</t>
  </si>
  <si>
    <t>Telford and Wrekin</t>
  </si>
  <si>
    <t>Walsall</t>
  </si>
  <si>
    <t>Warwickshire</t>
  </si>
  <si>
    <t>Wolverhampton</t>
  </si>
  <si>
    <t>Bradford</t>
  </si>
  <si>
    <t>Yorkshire &amp; the Humber</t>
  </si>
  <si>
    <t>Leeds</t>
  </si>
  <si>
    <t>Sheffield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</si>
</sst>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£-809]* #,##0.00_-;\-[$£-809]* #,##0.00_-;_-[$£-809]* &quot;-&quot;??_-;_-@_-"/>
    <numFmt numFmtId="165" formatCode="#,##0_ ;\-#,##0\ "/>
  </numFmts>
  <fonts count="19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444444"/>
      <name val="Arial"/>
      <family val="2"/>
    </font>
    <font>
      <sz val="11"/>
      <color rgb="FF00B050"/>
      <name val="Arial"/>
      <family val="2"/>
    </font>
    <font>
      <i/>
      <sz val="11"/>
      <name val="Arial"/>
      <family val="2"/>
    </font>
    <font>
      <sz val="11"/>
      <name val="Arial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11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D0CECE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250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2" borderId="11" xfId="0" applyFont="1" applyFill="1" applyBorder="1"/>
    <xf numFmtId="0" fontId="2" fillId="2" borderId="12" xfId="0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0" fontId="2" fillId="0" borderId="11" xfId="0" applyFont="1" applyBorder="1"/>
    <xf numFmtId="0" fontId="2" fillId="0" borderId="20" xfId="0" applyFont="1" applyBorder="1"/>
    <xf numFmtId="0" fontId="4" fillId="3" borderId="21" xfId="0" applyFont="1" applyFill="1" applyBorder="1"/>
    <xf numFmtId="0" fontId="3" fillId="0" borderId="0" xfId="0" applyFont="1"/>
    <xf numFmtId="0" fontId="3" fillId="0" borderId="16" xfId="0" applyFont="1" applyBorder="1"/>
    <xf numFmtId="0" fontId="5" fillId="0" borderId="1" xfId="0" applyFont="1" applyBorder="1"/>
    <xf numFmtId="0" fontId="3" fillId="0" borderId="20" xfId="0" applyFont="1" applyBorder="1"/>
    <xf numFmtId="1" fontId="3" fillId="0" borderId="0" xfId="0" applyNumberFormat="1" applyFont="1"/>
    <xf numFmtId="1" fontId="3" fillId="0" borderId="16" xfId="0" applyNumberFormat="1" applyFont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13" xfId="0" applyFont="1" applyFill="1" applyBorder="1"/>
    <xf numFmtId="0" fontId="7" fillId="2" borderId="14" xfId="0" applyFont="1" applyFill="1" applyBorder="1"/>
    <xf numFmtId="164" fontId="5" fillId="0" borderId="1" xfId="0" applyNumberFormat="1" applyFont="1" applyBorder="1"/>
    <xf numFmtId="0" fontId="5" fillId="0" borderId="13" xfId="0" applyFont="1" applyBorder="1"/>
    <xf numFmtId="0" fontId="5" fillId="0" borderId="11" xfId="0" applyFont="1" applyBorder="1"/>
    <xf numFmtId="0" fontId="4" fillId="4" borderId="8" xfId="0" applyFont="1" applyFill="1" applyBorder="1"/>
    <xf numFmtId="0" fontId="5" fillId="0" borderId="3" xfId="0" applyFont="1" applyBorder="1"/>
    <xf numFmtId="0" fontId="5" fillId="2" borderId="27" xfId="0" applyFont="1" applyFill="1" applyBorder="1"/>
    <xf numFmtId="0" fontId="5" fillId="2" borderId="1" xfId="0" applyFont="1" applyFill="1" applyBorder="1"/>
    <xf numFmtId="0" fontId="5" fillId="2" borderId="28" xfId="0" applyFont="1" applyFill="1" applyBorder="1"/>
    <xf numFmtId="0" fontId="5" fillId="2" borderId="29" xfId="0" applyFont="1" applyFill="1" applyBorder="1"/>
    <xf numFmtId="0" fontId="5" fillId="2" borderId="30" xfId="0" applyFont="1" applyFill="1" applyBorder="1"/>
    <xf numFmtId="0" fontId="5" fillId="2" borderId="31" xfId="0" applyFont="1" applyFill="1" applyBorder="1"/>
    <xf numFmtId="0" fontId="5" fillId="0" borderId="12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0" xfId="0" applyFont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7" fillId="0" borderId="1" xfId="0" applyFont="1" applyBorder="1"/>
    <xf numFmtId="0" fontId="4" fillId="5" borderId="0" xfId="0" applyFont="1" applyFill="1"/>
    <xf numFmtId="0" fontId="8" fillId="5" borderId="0" xfId="0" applyFont="1" applyFill="1"/>
    <xf numFmtId="0" fontId="6" fillId="5" borderId="0" xfId="0" applyFont="1" applyFill="1"/>
    <xf numFmtId="0" fontId="3" fillId="5" borderId="0" xfId="0" applyFont="1" applyFill="1"/>
    <xf numFmtId="0" fontId="5" fillId="0" borderId="6" xfId="0" applyFont="1" applyBorder="1"/>
    <xf numFmtId="0" fontId="7" fillId="0" borderId="11" xfId="0" applyFont="1" applyBorder="1"/>
    <xf numFmtId="1" fontId="5" fillId="0" borderId="1" xfId="0" applyNumberFormat="1" applyFont="1" applyBorder="1"/>
    <xf numFmtId="0" fontId="4" fillId="3" borderId="32" xfId="0" applyFont="1" applyFill="1" applyBorder="1"/>
    <xf numFmtId="0" fontId="4" fillId="3" borderId="24" xfId="0" applyFont="1" applyFill="1" applyBorder="1"/>
    <xf numFmtId="0" fontId="6" fillId="0" borderId="0" xfId="0" applyFont="1"/>
    <xf numFmtId="0" fontId="5" fillId="2" borderId="4" xfId="0" applyFont="1" applyFill="1" applyBorder="1"/>
    <xf numFmtId="0" fontId="5" fillId="2" borderId="33" xfId="0" applyFont="1" applyFill="1" applyBorder="1"/>
    <xf numFmtId="0" fontId="5" fillId="0" borderId="4" xfId="0" applyFont="1" applyBorder="1"/>
    <xf numFmtId="164" fontId="5" fillId="0" borderId="4" xfId="0" applyNumberFormat="1" applyFont="1" applyBorder="1"/>
    <xf numFmtId="0" fontId="5" fillId="0" borderId="34" xfId="0" applyFont="1" applyBorder="1"/>
    <xf numFmtId="0" fontId="4" fillId="3" borderId="35" xfId="0" applyFont="1" applyFill="1" applyBorder="1"/>
    <xf numFmtId="0" fontId="4" fillId="3" borderId="10" xfId="0" applyFont="1" applyFill="1" applyBorder="1"/>
    <xf numFmtId="0" fontId="1" fillId="0" borderId="25" xfId="0" applyFont="1" applyBorder="1"/>
    <xf numFmtId="0" fontId="1" fillId="0" borderId="26" xfId="0" applyFont="1" applyBorder="1"/>
    <xf numFmtId="0" fontId="1" fillId="0" borderId="40" xfId="0" applyFont="1" applyBorder="1"/>
    <xf numFmtId="0" fontId="1" fillId="0" borderId="41" xfId="0" applyFont="1" applyBorder="1"/>
    <xf numFmtId="0" fontId="2" fillId="2" borderId="28" xfId="0" applyFont="1" applyFill="1" applyBorder="1"/>
    <xf numFmtId="0" fontId="2" fillId="2" borderId="31" xfId="0" applyFont="1" applyFill="1" applyBorder="1"/>
    <xf numFmtId="0" fontId="2" fillId="2" borderId="27" xfId="0" applyFont="1" applyFill="1" applyBorder="1"/>
    <xf numFmtId="0" fontId="2" fillId="2" borderId="1" xfId="0" applyFont="1" applyFill="1" applyBorder="1"/>
    <xf numFmtId="0" fontId="2" fillId="2" borderId="4" xfId="0" applyFont="1" applyFill="1" applyBorder="1"/>
    <xf numFmtId="164" fontId="5" fillId="0" borderId="2" xfId="0" applyNumberFormat="1" applyFont="1" applyBorder="1"/>
    <xf numFmtId="0" fontId="5" fillId="0" borderId="2" xfId="0" applyFont="1" applyBorder="1"/>
    <xf numFmtId="0" fontId="5" fillId="0" borderId="14" xfId="0" applyFont="1" applyBorder="1"/>
    <xf numFmtId="1" fontId="5" fillId="0" borderId="2" xfId="0" applyNumberFormat="1" applyFont="1" applyBorder="1"/>
    <xf numFmtId="0" fontId="7" fillId="0" borderId="13" xfId="0" applyFont="1" applyBorder="1"/>
    <xf numFmtId="0" fontId="4" fillId="3" borderId="15" xfId="0" applyFont="1" applyFill="1" applyBorder="1"/>
    <xf numFmtId="0" fontId="4" fillId="3" borderId="42" xfId="0" applyFont="1" applyFill="1" applyBorder="1"/>
    <xf numFmtId="0" fontId="3" fillId="5" borderId="16" xfId="0" applyFont="1" applyFill="1" applyBorder="1"/>
    <xf numFmtId="0" fontId="4" fillId="3" borderId="43" xfId="0" applyFont="1" applyFill="1" applyBorder="1"/>
    <xf numFmtId="0" fontId="8" fillId="0" borderId="0" xfId="0" applyFont="1"/>
    <xf numFmtId="0" fontId="5" fillId="0" borderId="22" xfId="0" applyFont="1" applyBorder="1"/>
    <xf numFmtId="0" fontId="4" fillId="3" borderId="44" xfId="0" applyFont="1" applyFill="1" applyBorder="1"/>
    <xf numFmtId="1" fontId="5" fillId="0" borderId="0" xfId="0" applyNumberFormat="1" applyFont="1"/>
    <xf numFmtId="0" fontId="5" fillId="0" borderId="46" xfId="0" applyFont="1" applyBorder="1"/>
    <xf numFmtId="0" fontId="5" fillId="0" borderId="36" xfId="0" applyFont="1" applyBorder="1"/>
    <xf numFmtId="0" fontId="5" fillId="0" borderId="37" xfId="0" applyFont="1" applyBorder="1"/>
    <xf numFmtId="164" fontId="2" fillId="0" borderId="0" xfId="0" applyNumberFormat="1" applyFont="1"/>
    <xf numFmtId="164" fontId="9" fillId="0" borderId="2" xfId="0" quotePrefix="1" applyNumberFormat="1" applyFont="1" applyBorder="1"/>
    <xf numFmtId="0" fontId="7" fillId="0" borderId="2" xfId="0" applyFont="1" applyBorder="1"/>
    <xf numFmtId="0" fontId="7" fillId="0" borderId="4" xfId="0" applyFont="1" applyBorder="1"/>
    <xf numFmtId="0" fontId="4" fillId="0" borderId="0" xfId="0" applyFont="1"/>
    <xf numFmtId="0" fontId="4" fillId="3" borderId="49" xfId="0" applyFont="1" applyFill="1" applyBorder="1"/>
    <xf numFmtId="0" fontId="5" fillId="0" borderId="50" xfId="0" applyFont="1" applyBorder="1"/>
    <xf numFmtId="0" fontId="5" fillId="0" borderId="51" xfId="0" applyFont="1" applyBorder="1"/>
    <xf numFmtId="0" fontId="5" fillId="0" borderId="39" xfId="0" applyFont="1" applyBorder="1"/>
    <xf numFmtId="0" fontId="1" fillId="0" borderId="0" xfId="0" applyFont="1"/>
    <xf numFmtId="0" fontId="10" fillId="0" borderId="0" xfId="0" applyFont="1"/>
    <xf numFmtId="1" fontId="12" fillId="0" borderId="0" xfId="0" applyNumberFormat="1" applyFont="1"/>
    <xf numFmtId="0" fontId="12" fillId="0" borderId="52" xfId="0" applyFont="1" applyBorder="1"/>
    <xf numFmtId="0" fontId="5" fillId="0" borderId="5" xfId="0" applyFont="1" applyBorder="1" applyAlignment="1">
      <alignment horizontal="right"/>
    </xf>
    <xf numFmtId="0" fontId="5" fillId="0" borderId="48" xfId="0" applyFont="1" applyBorder="1"/>
    <xf numFmtId="0" fontId="12" fillId="0" borderId="11" xfId="0" applyFont="1" applyBorder="1"/>
    <xf numFmtId="1" fontId="5" fillId="0" borderId="13" xfId="0" applyNumberFormat="1" applyFont="1" applyBorder="1"/>
    <xf numFmtId="0" fontId="5" fillId="0" borderId="52" xfId="0" applyFont="1" applyBorder="1"/>
    <xf numFmtId="0" fontId="5" fillId="0" borderId="53" xfId="0" applyFont="1" applyBorder="1"/>
    <xf numFmtId="0" fontId="5" fillId="0" borderId="38" xfId="0" applyFont="1" applyBorder="1"/>
    <xf numFmtId="0" fontId="5" fillId="0" borderId="20" xfId="0" applyFont="1" applyBorder="1"/>
    <xf numFmtId="0" fontId="5" fillId="0" borderId="54" xfId="0" applyFont="1" applyBorder="1"/>
    <xf numFmtId="0" fontId="5" fillId="5" borderId="13" xfId="0" applyFont="1" applyFill="1" applyBorder="1"/>
    <xf numFmtId="0" fontId="5" fillId="0" borderId="8" xfId="0" applyFont="1" applyBorder="1"/>
    <xf numFmtId="0" fontId="5" fillId="0" borderId="9" xfId="0" applyFont="1" applyBorder="1"/>
    <xf numFmtId="0" fontId="5" fillId="0" borderId="45" xfId="0" applyFont="1" applyBorder="1"/>
    <xf numFmtId="164" fontId="5" fillId="0" borderId="7" xfId="0" applyNumberFormat="1" applyFont="1" applyBorder="1"/>
    <xf numFmtId="0" fontId="5" fillId="0" borderId="0" xfId="0" applyFont="1" applyAlignment="1">
      <alignment wrapText="1"/>
    </xf>
    <xf numFmtId="0" fontId="5" fillId="0" borderId="23" xfId="0" applyFont="1" applyBorder="1"/>
    <xf numFmtId="0" fontId="5" fillId="0" borderId="49" xfId="0" applyFont="1" applyBorder="1"/>
    <xf numFmtId="0" fontId="2" fillId="0" borderId="12" xfId="0" applyFont="1" applyBorder="1"/>
    <xf numFmtId="0" fontId="5" fillId="0" borderId="56" xfId="0" applyFont="1" applyBorder="1"/>
    <xf numFmtId="1" fontId="5" fillId="0" borderId="57" xfId="0" applyNumberFormat="1" applyFont="1" applyBorder="1"/>
    <xf numFmtId="1" fontId="5" fillId="0" borderId="58" xfId="0" applyNumberFormat="1" applyFont="1" applyBorder="1"/>
    <xf numFmtId="0" fontId="5" fillId="0" borderId="57" xfId="0" applyFont="1" applyBorder="1"/>
    <xf numFmtId="0" fontId="5" fillId="0" borderId="58" xfId="0" applyFont="1" applyBorder="1"/>
    <xf numFmtId="164" fontId="5" fillId="0" borderId="13" xfId="0" applyNumberFormat="1" applyFont="1" applyBorder="1"/>
    <xf numFmtId="164" fontId="5" fillId="0" borderId="14" xfId="0" applyNumberFormat="1" applyFont="1" applyBorder="1"/>
    <xf numFmtId="9" fontId="5" fillId="0" borderId="5" xfId="0" applyNumberFormat="1" applyFont="1" applyBorder="1"/>
    <xf numFmtId="0" fontId="2" fillId="0" borderId="1" xfId="0" applyFont="1" applyBorder="1"/>
    <xf numFmtId="0" fontId="7" fillId="0" borderId="1" xfId="0" applyFont="1" applyBorder="1" applyAlignment="1">
      <alignment wrapText="1"/>
    </xf>
    <xf numFmtId="0" fontId="2" fillId="0" borderId="7" xfId="0" applyFont="1" applyBorder="1"/>
    <xf numFmtId="0" fontId="2" fillId="0" borderId="59" xfId="0" applyFont="1" applyBorder="1"/>
    <xf numFmtId="0" fontId="2" fillId="8" borderId="6" xfId="0" applyFont="1" applyFill="1" applyBorder="1"/>
    <xf numFmtId="0" fontId="2" fillId="8" borderId="59" xfId="0" applyFont="1" applyFill="1" applyBorder="1"/>
    <xf numFmtId="0" fontId="2" fillId="0" borderId="1" xfId="0" applyFont="1" applyBorder="1" applyAlignment="1">
      <alignment wrapText="1"/>
    </xf>
    <xf numFmtId="0" fontId="2" fillId="0" borderId="7" xfId="0" applyFont="1" applyBorder="1" applyAlignment="1">
      <alignment wrapText="1"/>
    </xf>
    <xf numFmtId="9" fontId="2" fillId="0" borderId="7" xfId="0" applyNumberFormat="1" applyFont="1" applyBorder="1"/>
    <xf numFmtId="0" fontId="2" fillId="0" borderId="6" xfId="0" applyFont="1" applyBorder="1" applyAlignment="1">
      <alignment wrapText="1"/>
    </xf>
    <xf numFmtId="0" fontId="2" fillId="0" borderId="59" xfId="0" applyFont="1" applyBorder="1" applyAlignment="1">
      <alignment wrapText="1"/>
    </xf>
    <xf numFmtId="9" fontId="2" fillId="0" borderId="59" xfId="0" applyNumberFormat="1" applyFont="1" applyBorder="1"/>
    <xf numFmtId="0" fontId="2" fillId="8" borderId="6" xfId="0" applyFont="1" applyFill="1" applyBorder="1" applyAlignment="1">
      <alignment wrapText="1"/>
    </xf>
    <xf numFmtId="9" fontId="2" fillId="8" borderId="59" xfId="0" applyNumberFormat="1" applyFont="1" applyFill="1" applyBorder="1"/>
    <xf numFmtId="0" fontId="7" fillId="0" borderId="0" xfId="0" applyFont="1" applyAlignment="1">
      <alignment wrapText="1"/>
    </xf>
    <xf numFmtId="0" fontId="7" fillId="0" borderId="0" xfId="0" applyFont="1"/>
    <xf numFmtId="9" fontId="7" fillId="0" borderId="0" xfId="0" applyNumberFormat="1" applyFont="1"/>
    <xf numFmtId="0" fontId="7" fillId="0" borderId="6" xfId="0" applyFont="1" applyBorder="1"/>
    <xf numFmtId="0" fontId="7" fillId="0" borderId="49" xfId="0" applyFont="1" applyBorder="1"/>
    <xf numFmtId="0" fontId="7" fillId="0" borderId="14" xfId="0" applyFont="1" applyBorder="1"/>
    <xf numFmtId="9" fontId="5" fillId="0" borderId="13" xfId="0" applyNumberFormat="1" applyFont="1" applyBorder="1"/>
    <xf numFmtId="0" fontId="5" fillId="0" borderId="47" xfId="0" applyFont="1" applyBorder="1"/>
    <xf numFmtId="0" fontId="5" fillId="0" borderId="55" xfId="0" applyFont="1" applyBorder="1"/>
    <xf numFmtId="0" fontId="5" fillId="0" borderId="61" xfId="0" applyFont="1" applyBorder="1"/>
    <xf numFmtId="0" fontId="5" fillId="0" borderId="60" xfId="0" applyFont="1" applyBorder="1"/>
    <xf numFmtId="165" fontId="5" fillId="0" borderId="6" xfId="0" applyNumberFormat="1" applyFont="1" applyBorder="1"/>
    <xf numFmtId="165" fontId="5" fillId="0" borderId="49" xfId="0" applyNumberFormat="1" applyFont="1" applyBorder="1"/>
    <xf numFmtId="0" fontId="7" fillId="0" borderId="57" xfId="0" applyFont="1" applyBorder="1"/>
    <xf numFmtId="0" fontId="5" fillId="0" borderId="59" xfId="0" applyFont="1" applyBorder="1"/>
    <xf numFmtId="0" fontId="5" fillId="0" borderId="62" xfId="0" applyFont="1" applyBorder="1"/>
    <xf numFmtId="0" fontId="5" fillId="0" borderId="63" xfId="0" applyFont="1" applyBorder="1"/>
    <xf numFmtId="0" fontId="5" fillId="0" borderId="64" xfId="0" applyFont="1" applyBorder="1"/>
    <xf numFmtId="0" fontId="5" fillId="0" borderId="65" xfId="0" applyFont="1" applyBorder="1"/>
    <xf numFmtId="0" fontId="5" fillId="0" borderId="66" xfId="0" applyFont="1" applyBorder="1"/>
    <xf numFmtId="0" fontId="5" fillId="0" borderId="67" xfId="0" applyFont="1" applyBorder="1"/>
    <xf numFmtId="0" fontId="5" fillId="0" borderId="68" xfId="0" applyFont="1" applyBorder="1"/>
    <xf numFmtId="0" fontId="7" fillId="0" borderId="68" xfId="0" applyFont="1" applyBorder="1"/>
    <xf numFmtId="0" fontId="7" fillId="0" borderId="34" xfId="0" applyFont="1" applyBorder="1"/>
    <xf numFmtId="0" fontId="12" fillId="0" borderId="1" xfId="0" applyFont="1" applyBorder="1"/>
    <xf numFmtId="9" fontId="5" fillId="0" borderId="2" xfId="0" applyNumberFormat="1" applyFont="1" applyBorder="1"/>
    <xf numFmtId="0" fontId="4" fillId="3" borderId="69" xfId="0" applyFont="1" applyFill="1" applyBorder="1"/>
    <xf numFmtId="0" fontId="4" fillId="3" borderId="70" xfId="0" applyFont="1" applyFill="1" applyBorder="1"/>
    <xf numFmtId="0" fontId="4" fillId="3" borderId="71" xfId="0" applyFont="1" applyFill="1" applyBorder="1"/>
    <xf numFmtId="9" fontId="5" fillId="0" borderId="38" xfId="0" applyNumberFormat="1" applyFont="1" applyBorder="1"/>
    <xf numFmtId="1" fontId="5" fillId="0" borderId="39" xfId="0" applyNumberFormat="1" applyFont="1" applyBorder="1" applyAlignment="1">
      <alignment horizontal="right"/>
    </xf>
    <xf numFmtId="0" fontId="11" fillId="0" borderId="1" xfId="0" applyFont="1" applyBorder="1"/>
    <xf numFmtId="1" fontId="5" fillId="0" borderId="14" xfId="0" applyNumberFormat="1" applyFont="1" applyBorder="1" applyAlignment="1">
      <alignment horizontal="right"/>
    </xf>
    <xf numFmtId="1" fontId="3" fillId="5" borderId="0" xfId="0" applyNumberFormat="1" applyFont="1" applyFill="1"/>
    <xf numFmtId="9" fontId="5" fillId="0" borderId="2" xfId="1" applyFont="1" applyBorder="1"/>
    <xf numFmtId="0" fontId="5" fillId="5" borderId="0" xfId="0" applyFont="1" applyFill="1"/>
    <xf numFmtId="164" fontId="3" fillId="0" borderId="0" xfId="0" applyNumberFormat="1" applyFont="1"/>
    <xf numFmtId="0" fontId="2" fillId="5" borderId="0" xfId="0" applyFont="1" applyFill="1"/>
    <xf numFmtId="9" fontId="2" fillId="5" borderId="0" xfId="0" applyNumberFormat="1" applyFont="1" applyFill="1"/>
    <xf numFmtId="0" fontId="7" fillId="5" borderId="0" xfId="0" applyFont="1" applyFill="1" applyAlignment="1">
      <alignment wrapText="1"/>
    </xf>
    <xf numFmtId="0" fontId="7" fillId="5" borderId="0" xfId="0" applyFont="1" applyFill="1"/>
    <xf numFmtId="9" fontId="7" fillId="5" borderId="0" xfId="0" applyNumberFormat="1" applyFont="1" applyFill="1"/>
    <xf numFmtId="0" fontId="2" fillId="9" borderId="0" xfId="0" applyFont="1" applyFill="1"/>
    <xf numFmtId="9" fontId="5" fillId="5" borderId="0" xfId="0" applyNumberFormat="1" applyFont="1" applyFill="1"/>
    <xf numFmtId="1" fontId="2" fillId="5" borderId="0" xfId="0" applyNumberFormat="1" applyFont="1" applyFill="1"/>
    <xf numFmtId="0" fontId="2" fillId="9" borderId="0" xfId="0" applyFont="1" applyFill="1" applyAlignment="1">
      <alignment wrapText="1"/>
    </xf>
    <xf numFmtId="9" fontId="2" fillId="9" borderId="0" xfId="0" applyNumberFormat="1" applyFont="1" applyFill="1"/>
    <xf numFmtId="9" fontId="5" fillId="0" borderId="14" xfId="0" applyNumberFormat="1" applyFont="1" applyBorder="1"/>
    <xf numFmtId="9" fontId="5" fillId="0" borderId="48" xfId="0" applyNumberFormat="1" applyFont="1" applyBorder="1"/>
    <xf numFmtId="9" fontId="5" fillId="0" borderId="0" xfId="0" applyNumberFormat="1" applyFont="1"/>
    <xf numFmtId="10" fontId="3" fillId="0" borderId="0" xfId="0" applyNumberFormat="1" applyFont="1"/>
    <xf numFmtId="0" fontId="1" fillId="5" borderId="0" xfId="0" applyFont="1" applyFill="1"/>
    <xf numFmtId="9" fontId="7" fillId="5" borderId="0" xfId="1" applyFont="1" applyFill="1" applyBorder="1"/>
    <xf numFmtId="0" fontId="4" fillId="3" borderId="72" xfId="0" applyFont="1" applyFill="1" applyBorder="1"/>
    <xf numFmtId="0" fontId="4" fillId="3" borderId="73" xfId="0" applyFont="1" applyFill="1" applyBorder="1"/>
    <xf numFmtId="0" fontId="2" fillId="6" borderId="12" xfId="0" applyFont="1" applyFill="1" applyBorder="1"/>
    <xf numFmtId="0" fontId="2" fillId="6" borderId="13" xfId="0" applyFont="1" applyFill="1" applyBorder="1"/>
    <xf numFmtId="9" fontId="2" fillId="6" borderId="14" xfId="0" applyNumberFormat="1" applyFont="1" applyFill="1" applyBorder="1"/>
    <xf numFmtId="0" fontId="7" fillId="0" borderId="11" xfId="0" applyFont="1" applyBorder="1" applyAlignment="1">
      <alignment wrapText="1"/>
    </xf>
    <xf numFmtId="9" fontId="7" fillId="0" borderId="2" xfId="1" applyFont="1" applyBorder="1"/>
    <xf numFmtId="0" fontId="7" fillId="6" borderId="12" xfId="0" applyFont="1" applyFill="1" applyBorder="1" applyAlignment="1">
      <alignment wrapText="1"/>
    </xf>
    <xf numFmtId="0" fontId="7" fillId="6" borderId="13" xfId="0" applyFont="1" applyFill="1" applyBorder="1"/>
    <xf numFmtId="9" fontId="7" fillId="6" borderId="14" xfId="1" applyFont="1" applyFill="1" applyBorder="1"/>
    <xf numFmtId="10" fontId="5" fillId="5" borderId="0" xfId="0" applyNumberFormat="1" applyFont="1" applyFill="1"/>
    <xf numFmtId="0" fontId="14" fillId="7" borderId="72" xfId="0" applyFont="1" applyFill="1" applyBorder="1"/>
    <xf numFmtId="0" fontId="14" fillId="7" borderId="15" xfId="0" applyFont="1" applyFill="1" applyBorder="1"/>
    <xf numFmtId="0" fontId="14" fillId="7" borderId="73" xfId="0" applyFont="1" applyFill="1" applyBorder="1"/>
    <xf numFmtId="0" fontId="2" fillId="0" borderId="23" xfId="0" applyFont="1" applyBorder="1"/>
    <xf numFmtId="0" fontId="2" fillId="8" borderId="74" xfId="0" applyFont="1" applyFill="1" applyBorder="1"/>
    <xf numFmtId="0" fontId="2" fillId="8" borderId="75" xfId="0" applyFont="1" applyFill="1" applyBorder="1"/>
    <xf numFmtId="10" fontId="5" fillId="6" borderId="76" xfId="0" applyNumberFormat="1" applyFont="1" applyFill="1" applyBorder="1"/>
    <xf numFmtId="0" fontId="14" fillId="7" borderId="72" xfId="0" applyFont="1" applyFill="1" applyBorder="1" applyAlignment="1">
      <alignment wrapText="1"/>
    </xf>
    <xf numFmtId="0" fontId="14" fillId="7" borderId="15" xfId="0" applyFont="1" applyFill="1" applyBorder="1" applyAlignment="1">
      <alignment wrapText="1"/>
    </xf>
    <xf numFmtId="0" fontId="2" fillId="0" borderId="11" xfId="0" applyFont="1" applyBorder="1" applyAlignment="1">
      <alignment wrapText="1"/>
    </xf>
    <xf numFmtId="9" fontId="2" fillId="0" borderId="77" xfId="0" applyNumberFormat="1" applyFont="1" applyBorder="1"/>
    <xf numFmtId="0" fontId="2" fillId="0" borderId="23" xfId="0" applyFont="1" applyBorder="1" applyAlignment="1">
      <alignment wrapText="1"/>
    </xf>
    <xf numFmtId="9" fontId="2" fillId="0" borderId="78" xfId="0" applyNumberFormat="1" applyFont="1" applyBorder="1"/>
    <xf numFmtId="0" fontId="2" fillId="8" borderId="74" xfId="0" applyFont="1" applyFill="1" applyBorder="1" applyAlignment="1">
      <alignment wrapText="1"/>
    </xf>
    <xf numFmtId="9" fontId="2" fillId="8" borderId="79" xfId="0" applyNumberFormat="1" applyFont="1" applyFill="1" applyBorder="1"/>
    <xf numFmtId="9" fontId="5" fillId="0" borderId="77" xfId="0" applyNumberFormat="1" applyFont="1" applyBorder="1"/>
    <xf numFmtId="9" fontId="5" fillId="6" borderId="76" xfId="0" applyNumberFormat="1" applyFont="1" applyFill="1" applyBorder="1"/>
    <xf numFmtId="9" fontId="7" fillId="6" borderId="14" xfId="0" applyNumberFormat="1" applyFont="1" applyFill="1" applyBorder="1"/>
    <xf numFmtId="1" fontId="5" fillId="0" borderId="0" xfId="0" applyNumberFormat="1" applyFont="1" applyAlignment="1">
      <alignment horizontal="right"/>
    </xf>
    <xf numFmtId="9" fontId="5" fillId="0" borderId="14" xfId="0" applyNumberFormat="1" applyFont="1" applyBorder="1" applyAlignment="1">
      <alignment horizontal="right"/>
    </xf>
    <xf numFmtId="9" fontId="5" fillId="0" borderId="0" xfId="0" applyNumberFormat="1" applyFont="1" applyAlignment="1">
      <alignment horizontal="right"/>
    </xf>
    <xf numFmtId="9" fontId="5" fillId="6" borderId="59" xfId="0" applyNumberFormat="1" applyFont="1" applyFill="1" applyBorder="1"/>
    <xf numFmtId="0" fontId="2" fillId="0" borderId="74" xfId="0" applyFont="1" applyBorder="1"/>
    <xf numFmtId="0" fontId="2" fillId="0" borderId="46" xfId="0" applyFont="1" applyBorder="1"/>
    <xf numFmtId="9" fontId="7" fillId="0" borderId="14" xfId="1" applyFont="1" applyBorder="1"/>
    <xf numFmtId="0" fontId="5" fillId="0" borderId="80" xfId="0" applyFont="1" applyBorder="1"/>
    <xf numFmtId="9" fontId="5" fillId="0" borderId="58" xfId="0" applyNumberFormat="1" applyFont="1" applyBorder="1"/>
    <xf numFmtId="9" fontId="5" fillId="0" borderId="14" xfId="1" applyFont="1" applyBorder="1"/>
    <xf numFmtId="9" fontId="5" fillId="0" borderId="0" xfId="1" applyFont="1" applyBorder="1"/>
    <xf numFmtId="0" fontId="5" fillId="0" borderId="81" xfId="0" applyFont="1" applyBorder="1"/>
    <xf numFmtId="0" fontId="4" fillId="3" borderId="0" xfId="0" applyFont="1" applyFill="1"/>
    <xf numFmtId="0" fontId="1" fillId="10" borderId="72" xfId="0" applyFont="1" applyFill="1" applyBorder="1" applyAlignment="1">
      <alignment wrapText="1"/>
    </xf>
    <xf numFmtId="0" fontId="1" fillId="10" borderId="15" xfId="0" applyFont="1" applyFill="1" applyBorder="1" applyAlignment="1">
      <alignment wrapText="1"/>
    </xf>
    <xf numFmtId="0" fontId="1" fillId="10" borderId="73" xfId="0" applyFont="1" applyFill="1" applyBorder="1"/>
    <xf numFmtId="0" fontId="15" fillId="11" borderId="72" xfId="0" applyFont="1" applyFill="1" applyBorder="1" applyAlignment="1">
      <alignment wrapText="1"/>
    </xf>
    <xf numFmtId="0" fontId="15" fillId="11" borderId="15" xfId="0" applyFont="1" applyFill="1" applyBorder="1" applyAlignment="1">
      <alignment wrapText="1"/>
    </xf>
    <xf numFmtId="0" fontId="15" fillId="11" borderId="73" xfId="0" applyFont="1" applyFill="1" applyBorder="1"/>
    <xf numFmtId="0" fontId="15" fillId="12" borderId="72" xfId="0" applyFont="1" applyFill="1" applyBorder="1" applyAlignment="1">
      <alignment wrapText="1"/>
    </xf>
    <xf numFmtId="0" fontId="15" fillId="12" borderId="15" xfId="0" applyFont="1" applyFill="1" applyBorder="1" applyAlignment="1">
      <alignment wrapText="1"/>
    </xf>
    <xf numFmtId="0" fontId="15" fillId="12" borderId="73" xfId="0" applyFont="1" applyFill="1" applyBorder="1"/>
    <xf numFmtId="0" fontId="15" fillId="11" borderId="0" xfId="0" applyFont="1" applyFill="1" applyAlignment="1">
      <alignment wrapText="1"/>
    </xf>
    <xf numFmtId="0" fontId="15" fillId="11" borderId="0" xfId="0" applyFont="1" applyFill="1"/>
    <xf numFmtId="0" fontId="17" fillId="0" borderId="0" xfId="0" applyFont="1"/>
    <xf numFmtId="0" fontId="16" fillId="13" borderId="72" xfId="0" applyFont="1" applyFill="1" applyBorder="1"/>
    <xf numFmtId="0" fontId="16" fillId="14" borderId="15" xfId="0" applyFont="1" applyFill="1" applyBorder="1"/>
    <xf numFmtId="0" fontId="16" fillId="15" borderId="15" xfId="0" applyFont="1" applyFill="1" applyBorder="1"/>
    <xf numFmtId="0" fontId="16" fillId="16" borderId="10" xfId="0" applyFont="1" applyFill="1" applyBorder="1"/>
    <xf numFmtId="0" fontId="1" fillId="9" borderId="0" xfId="0" applyFont="1" applyFill="1" applyAlignment="1">
      <alignment wrapText="1"/>
    </xf>
    <xf numFmtId="0" fontId="18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D7112"/>
      <color rgb="FF6B1E5A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cap="none" baseline="0">
                <a:effectLst/>
              </a:rPr>
              <a:t>Number of family households supported, as at end of quarter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local authorities'!$A$11</c:f>
              <c:strCache>
                <c:ptCount val="1"/>
                <c:pt idx="0">
                  <c:v>Number of financially supported households at end of quarter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local authorities'!$B$10:$E$10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'All local authorities'!$B$11:$E$11</c:f>
              <c:numCache>
                <c:formatCode>General</c:formatCode>
                <c:ptCount val="4"/>
                <c:pt idx="0">
                  <c:v>1665</c:v>
                </c:pt>
                <c:pt idx="1">
                  <c:v>1665</c:v>
                </c:pt>
                <c:pt idx="2">
                  <c:v>1694</c:v>
                </c:pt>
                <c:pt idx="3">
                  <c:v>1650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F-48E8-B96D-7DD482A8179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51464815"/>
        <c:axId val="1951466479"/>
      </c:lineChart>
      <c:catAx>
        <c:axId val="195146481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466479"/>
        <c:crosses val="autoZero"/>
        <c:auto val="1"/>
        <c:lblAlgn val="ctr"/>
        <c:lblOffset val="100"/>
        <c:noMultiLvlLbl val="0"/>
      </c:catAx>
      <c:valAx>
        <c:axId val="195146647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464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Immigration status, adult households referred </a:t>
            </a:r>
            <a:br>
              <a:rPr lang="en-US" sz="1400" b="1" i="0" baseline="0">
                <a:effectLst/>
              </a:rPr>
            </a:br>
            <a:r>
              <a:rPr lang="en-US" sz="1400" b="1" i="0" baseline="0">
                <a:effectLst/>
              </a:rPr>
              <a:t>2021-2022, all local authorities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1644510565152838"/>
          <c:y val="3.15078518169013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'All local authorities'!$G$270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92D-49D4-A810-A19FA33E5F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3B9E-459C-92A0-6743DB09AC7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92D-49D4-A810-A19FA33E5FB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9E-459C-92A0-6743DB09AC7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92D-49D4-A810-A19FA33E5FB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92D-49D4-A810-A19FA33E5FB4}"/>
              </c:ext>
            </c:extLst>
          </c:dPt>
          <c:dLbls>
            <c:dLbl>
              <c:idx val="1"/>
              <c:layout>
                <c:manualLayout>
                  <c:x val="2.7381858906143464E-2"/>
                  <c:y val="-1.549027335435855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9E-459C-92A0-6743DB09AC71}"/>
                </c:ext>
              </c:extLst>
            </c:dLbl>
            <c:dLbl>
              <c:idx val="3"/>
              <c:layout>
                <c:manualLayout>
                  <c:x val="6.9435372870879558E-2"/>
                  <c:y val="-0.160968266290908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9E-459C-92A0-6743DB09AC7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'All local authorities'!$F$271:$F$276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'All local authorities'!$G$271:$G$276</c:f>
              <c:numCache>
                <c:formatCode>General</c:formatCode>
                <c:ptCount val="6"/>
                <c:pt idx="0">
                  <c:v>270</c:v>
                </c:pt>
                <c:pt idx="1">
                  <c:v>33</c:v>
                </c:pt>
                <c:pt idx="2" formatCode="0">
                  <c:v>609</c:v>
                </c:pt>
                <c:pt idx="3">
                  <c:v>159</c:v>
                </c:pt>
                <c:pt idx="4">
                  <c:v>230</c:v>
                </c:pt>
                <c:pt idx="5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E-459C-92A0-6743DB09AC71}"/>
            </c:ext>
          </c:extLst>
        </c:ser>
        <c:ser>
          <c:idx val="1"/>
          <c:order val="1"/>
          <c:tx>
            <c:strRef>
              <c:f>'All local authorities'!$H$270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92D-49D4-A810-A19FA33E5F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92D-49D4-A810-A19FA33E5F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92D-49D4-A810-A19FA33E5FB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92D-49D4-A810-A19FA33E5FB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392D-49D4-A810-A19FA33E5FB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392D-49D4-A810-A19FA33E5FB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'All local authorities'!$F$271:$F$276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'All local authorities'!$H$271:$H$276</c:f>
              <c:numCache>
                <c:formatCode>0%</c:formatCode>
                <c:ptCount val="6"/>
                <c:pt idx="0">
                  <c:v>0.15561959654178675</c:v>
                </c:pt>
                <c:pt idx="1">
                  <c:v>1.9020172910662825E-2</c:v>
                </c:pt>
                <c:pt idx="2">
                  <c:v>0.35100864553314121</c:v>
                </c:pt>
                <c:pt idx="3">
                  <c:v>9.1642651296829969E-2</c:v>
                </c:pt>
                <c:pt idx="4">
                  <c:v>0.13256484149855907</c:v>
                </c:pt>
                <c:pt idx="5">
                  <c:v>0.25014409221902018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9E-459C-92A0-6743DB09AC7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96959810362516"/>
          <c:y val="0.2398997560176869"/>
          <c:w val="0.32513015274228801"/>
          <c:h val="0.6695478600865635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Scotland - Number of family households supported, as at end of quarter 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17363923849141502"/>
          <c:y val="2.3148197079391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Scotland!$A$11</c:f>
              <c:strCache>
                <c:ptCount val="1"/>
                <c:pt idx="0">
                  <c:v>Number of financially supported households at end of quarter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Scotland!$B$10:$E$10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Scotland!$B$11:$E$11</c:f>
              <c:numCache>
                <c:formatCode>General</c:formatCode>
                <c:ptCount val="4"/>
                <c:pt idx="0">
                  <c:v>28</c:v>
                </c:pt>
                <c:pt idx="1">
                  <c:v>29</c:v>
                </c:pt>
                <c:pt idx="2">
                  <c:v>34</c:v>
                </c:pt>
                <c:pt idx="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2-40B0-A8F1-4C8E87CB77B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69155935"/>
        <c:axId val="1769153855"/>
      </c:lineChart>
      <c:catAx>
        <c:axId val="176915593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9153855"/>
        <c:crosses val="autoZero"/>
        <c:auto val="1"/>
        <c:lblAlgn val="ctr"/>
        <c:lblOffset val="100"/>
        <c:noMultiLvlLbl val="0"/>
      </c:catAx>
      <c:valAx>
        <c:axId val="176915385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9155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Scotland - Number of adult households supported, as at end of quarter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Scotland!$A$34</c:f>
              <c:strCache>
                <c:ptCount val="1"/>
                <c:pt idx="0">
                  <c:v>Number of financially supported households at end of quarter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Scotland!$B$33:$E$33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Scotland!$B$34:$E$34</c:f>
              <c:numCache>
                <c:formatCode>General</c:formatCode>
                <c:ptCount val="4"/>
                <c:pt idx="0">
                  <c:v>33</c:v>
                </c:pt>
                <c:pt idx="1">
                  <c:v>34</c:v>
                </c:pt>
                <c:pt idx="2">
                  <c:v>34</c:v>
                </c:pt>
                <c:pt idx="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9-42C3-97B9-0D8E811ADCF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3803631"/>
        <c:axId val="193794479"/>
      </c:lineChart>
      <c:catAx>
        <c:axId val="19380363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94479"/>
        <c:crosses val="autoZero"/>
        <c:auto val="1"/>
        <c:lblAlgn val="ctr"/>
        <c:lblOffset val="100"/>
        <c:noMultiLvlLbl val="0"/>
      </c:catAx>
      <c:valAx>
        <c:axId val="19379447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80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Scotland - Closure reason family cases - all closures in the year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Scotland!$B$70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3D1-4CC9-9981-19CEE3390D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3D1-4CC9-9981-19CEE3390D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3D1-4CC9-9981-19CEE3390D2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F28-4D46-AA17-5CCADD0C8F9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23D1-4CC9-9981-19CEE3390D2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23D1-4CC9-9981-19CEE3390D2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3D1-4CC9-9981-19CEE3390D2B}"/>
              </c:ext>
            </c:extLst>
          </c:dPt>
          <c:dLbls>
            <c:dLbl>
              <c:idx val="0"/>
              <c:layout>
                <c:manualLayout>
                  <c:x val="-7.7837996314290503E-2"/>
                  <c:y val="0.137625707234356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D1-4CC9-9981-19CEE3390D2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D1-4CC9-9981-19CEE3390D2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D1-4CC9-9981-19CEE3390D2B}"/>
                </c:ext>
              </c:extLst>
            </c:dLbl>
            <c:dLbl>
              <c:idx val="4"/>
              <c:layout>
                <c:manualLayout>
                  <c:x val="2.7756952588373261E-2"/>
                  <c:y val="0.13978610882594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D1-4CC9-9981-19CEE3390D2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D1-4CC9-9981-19CEE3390D2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D1-4CC9-9981-19CEE3390D2B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Scotland!$A$71:$A$77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Scotland!$B$71:$B$77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1-4CC9-9981-19CEE3390D2B}"/>
            </c:ext>
          </c:extLst>
        </c:ser>
        <c:ser>
          <c:idx val="1"/>
          <c:order val="1"/>
          <c:tx>
            <c:strRef>
              <c:f>Scotland!$C$70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F28-4D46-AA17-5CCADD0C8F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F28-4D46-AA17-5CCADD0C8F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5F28-4D46-AA17-5CCADD0C8F9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5F28-4D46-AA17-5CCADD0C8F9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5F28-4D46-AA17-5CCADD0C8F9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5F28-4D46-AA17-5CCADD0C8F9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5F28-4D46-AA17-5CCADD0C8F9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Scotland!$A$71:$A$77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Scotland!$C$71:$C$77</c:f>
              <c:numCache>
                <c:formatCode>0%</c:formatCode>
                <c:ptCount val="7"/>
                <c:pt idx="0">
                  <c:v>0.17647058823529413</c:v>
                </c:pt>
                <c:pt idx="1">
                  <c:v>0</c:v>
                </c:pt>
                <c:pt idx="2">
                  <c:v>0</c:v>
                </c:pt>
                <c:pt idx="3">
                  <c:v>0.76470588235294112</c:v>
                </c:pt>
                <c:pt idx="4">
                  <c:v>5.8823529411764705E-2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1-4CC9-9981-19CEE3390D2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Scotland - Immigration status, family households financially supported 31 March 2022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Scotland!$G$112</c:f>
              <c:strCache>
                <c:ptCount val="1"/>
                <c:pt idx="0">
                  <c:v>Number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AD4-4737-A560-B022C2FD27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AD4-4737-A560-B022C2FD27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F1-4FAD-BC2D-00A5C4E789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AD4-4737-A560-B022C2FD271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AD4-4737-A560-B022C2FD271A}"/>
              </c:ext>
            </c:extLst>
          </c:dPt>
          <c:dLbls>
            <c:dLbl>
              <c:idx val="2"/>
              <c:layout>
                <c:manualLayout>
                  <c:x val="4.1579763159526321E-2"/>
                  <c:y val="-0.1469646409021419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F1-4FAD-BC2D-00A5C4E789D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Scotland!$F$113:$F$117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Scotland!$G$113:$G$117</c:f>
              <c:numCache>
                <c:formatCode>General</c:formatCode>
                <c:ptCount val="5"/>
                <c:pt idx="0">
                  <c:v>9</c:v>
                </c:pt>
                <c:pt idx="1">
                  <c:v>5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F1-4FAD-BC2D-00A5C4E789D6}"/>
            </c:ext>
          </c:extLst>
        </c:ser>
        <c:ser>
          <c:idx val="1"/>
          <c:order val="1"/>
          <c:tx>
            <c:strRef>
              <c:f>Scotland!$H$112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AD4-4737-A560-B022C2FD27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AD4-4737-A560-B022C2FD27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AD4-4737-A560-B022C2FD271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AD4-4737-A560-B022C2FD271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DAD4-4737-A560-B022C2FD271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Scotland!$F$113:$F$117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Scotland!$H$113:$H$117</c:f>
              <c:numCache>
                <c:formatCode>0%</c:formatCode>
                <c:ptCount val="5"/>
                <c:pt idx="0">
                  <c:v>0.32142857142857145</c:v>
                </c:pt>
                <c:pt idx="1">
                  <c:v>0.17857142857142858</c:v>
                </c:pt>
                <c:pt idx="2">
                  <c:v>7.1428571428571425E-2</c:v>
                </c:pt>
                <c:pt idx="3">
                  <c:v>0.14285714285714285</c:v>
                </c:pt>
                <c:pt idx="4">
                  <c:v>0.2857142857142857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F1-4FAD-BC2D-00A5C4E789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681918697170726"/>
          <c:y val="0.27499745204083309"/>
          <c:w val="0.33743278153222972"/>
          <c:h val="0.6252658918679007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Scotland - Immigration status, adult households financially supported 31 March 2022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Scotland!$G$140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90-432F-B0F7-3CCCB1BA9F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D6D-4C02-8E4B-7206C9F553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90-432F-B0F7-3CCCB1BA9F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9D6D-4C02-8E4B-7206C9F553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90-432F-B0F7-3CCCB1BA9F40}"/>
              </c:ext>
            </c:extLst>
          </c:dPt>
          <c:dLbls>
            <c:dLbl>
              <c:idx val="1"/>
              <c:layout>
                <c:manualLayout>
                  <c:x val="-1.3592623290509739E-2"/>
                  <c:y val="-0.11815189230378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6D-4C02-8E4B-7206C9F55356}"/>
                </c:ext>
              </c:extLst>
            </c:dLbl>
            <c:dLbl>
              <c:idx val="3"/>
              <c:layout>
                <c:manualLayout>
                  <c:x val="8.4887484459179416E-2"/>
                  <c:y val="-0.1480582507831682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6D-4C02-8E4B-7206C9F5535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Scotland!$F$141:$F$145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Scotland!$G$141:$G$145</c:f>
              <c:numCache>
                <c:formatCode>General</c:formatCode>
                <c:ptCount val="5"/>
                <c:pt idx="0">
                  <c:v>15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D-4C02-8E4B-7206C9F55356}"/>
            </c:ext>
          </c:extLst>
        </c:ser>
        <c:ser>
          <c:idx val="1"/>
          <c:order val="1"/>
          <c:tx>
            <c:strRef>
              <c:f>Scotland!$H$140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90-432F-B0F7-3CCCB1BA9F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90-432F-B0F7-3CCCB1BA9F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590-432F-B0F7-3CCCB1BA9F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590-432F-B0F7-3CCCB1BA9F4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590-432F-B0F7-3CCCB1BA9F4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Scotland!$F$141:$F$145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Scotland!$H$141:$H$145</c:f>
              <c:numCache>
                <c:formatCode>0%</c:formatCode>
                <c:ptCount val="5"/>
                <c:pt idx="0">
                  <c:v>0.44117647058823528</c:v>
                </c:pt>
                <c:pt idx="1">
                  <c:v>8.8235294117647065E-2</c:v>
                </c:pt>
                <c:pt idx="2">
                  <c:v>2.9411764705882353E-2</c:v>
                </c:pt>
                <c:pt idx="3">
                  <c:v>0.11764705882352941</c:v>
                </c:pt>
                <c:pt idx="4">
                  <c:v>0.3235294117647059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6D-4C02-8E4B-7206C9F5535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88976377952756"/>
          <c:y val="0.2682231817796969"/>
          <c:w val="0.33832076253626192"/>
          <c:h val="0.6698975531284395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Scotland - Immigration status, family households referred  2021-2022  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Scotland!$G$171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9B9-41A1-A589-8C33A2EFC3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9B9-41A1-A589-8C33A2EFC3C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9B9-41A1-A589-8C33A2EFC3C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9B9-41A1-A589-8C33A2EFC3C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9B9-41A1-A589-8C33A2EFC3C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Scotland!$F$172:$F$176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Scotland!$G$172:$G$176</c:f>
              <c:numCache>
                <c:formatCode>General</c:formatCode>
                <c:ptCount val="5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10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5-4321-A536-BC9FB978C290}"/>
            </c:ext>
          </c:extLst>
        </c:ser>
        <c:ser>
          <c:idx val="1"/>
          <c:order val="1"/>
          <c:tx>
            <c:strRef>
              <c:f>Scotland!$H$171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9B9-41A1-A589-8C33A2EFC3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9B9-41A1-A589-8C33A2EFC3C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9B9-41A1-A589-8C33A2EFC3C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9B9-41A1-A589-8C33A2EFC3C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E9B9-41A1-A589-8C33A2EFC3C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Scotland!$F$172:$F$176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Scotland!$H$172:$H$176</c:f>
              <c:numCache>
                <c:formatCode>0%</c:formatCode>
                <c:ptCount val="5"/>
                <c:pt idx="0">
                  <c:v>0.13043478260869565</c:v>
                </c:pt>
                <c:pt idx="1">
                  <c:v>0.21739130434782608</c:v>
                </c:pt>
                <c:pt idx="2">
                  <c:v>8.6956521739130432E-2</c:v>
                </c:pt>
                <c:pt idx="3">
                  <c:v>0.43478260869565216</c:v>
                </c:pt>
                <c:pt idx="4">
                  <c:v>0.13043478260869565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B5-4321-A536-BC9FB978C29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Scotland - Immigration status, adult households referred  2021-2022  </a:t>
            </a:r>
            <a:r>
              <a:rPr lang="en-GB" sz="1400" b="1" i="0" baseline="0">
                <a:effectLst/>
              </a:rPr>
              <a:t> </a:t>
            </a:r>
            <a:r>
              <a:rPr lang="en-US" sz="1400" b="1" i="0" baseline="0">
                <a:effectLst/>
              </a:rPr>
              <a:t>  </a:t>
            </a:r>
            <a:r>
              <a:rPr lang="en-US" sz="140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Scotland!$G$198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43-40B1-AE45-1F19753093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43-40B1-AE45-1F19753093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B643-40B1-AE45-1F19753093F3}"/>
              </c:ext>
            </c:extLst>
          </c:dPt>
          <c:dLbls>
            <c:dLbl>
              <c:idx val="0"/>
              <c:layout>
                <c:manualLayout>
                  <c:x val="-0.14725667556018313"/>
                  <c:y val="-0.219841565258888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43-40B1-AE45-1F19753093F3}"/>
                </c:ext>
              </c:extLst>
            </c:dLbl>
            <c:dLbl>
              <c:idx val="1"/>
              <c:layout>
                <c:manualLayout>
                  <c:x val="9.3287347346044561E-2"/>
                  <c:y val="5.162777380100214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43-40B1-AE45-1F19753093F3}"/>
                </c:ext>
              </c:extLst>
            </c:dLbl>
            <c:dLbl>
              <c:idx val="2"/>
              <c:layout>
                <c:manualLayout>
                  <c:x val="9.1058979197848181E-2"/>
                  <c:y val="0.1423593414459556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43-40B1-AE45-1F19753093F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Scotland!$F$199:$F$201</c:f>
              <c:strCache>
                <c:ptCount val="3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recourse</c:v>
                </c:pt>
              </c:strCache>
            </c:strRef>
          </c:cat>
          <c:val>
            <c:numRef>
              <c:f>Scotland!$G$199:$G$201</c:f>
              <c:numCache>
                <c:formatCode>General</c:formatCode>
                <c:ptCount val="3"/>
                <c:pt idx="0">
                  <c:v>9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3-40B1-AE45-1F19753093F3}"/>
            </c:ext>
          </c:extLst>
        </c:ser>
        <c:ser>
          <c:idx val="1"/>
          <c:order val="1"/>
          <c:tx>
            <c:strRef>
              <c:f>Scotland!$H$198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A1E-45EA-89E3-E621DA0E05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A1E-45EA-89E3-E621DA0E05E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A1E-45EA-89E3-E621DA0E05E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Scotland!$F$199:$F$201</c:f>
              <c:strCache>
                <c:ptCount val="3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recourse</c:v>
                </c:pt>
              </c:strCache>
            </c:strRef>
          </c:cat>
          <c:val>
            <c:numRef>
              <c:f>Scotland!$H$199:$H$201</c:f>
              <c:numCache>
                <c:formatCode>0%</c:formatCode>
                <c:ptCount val="3"/>
                <c:pt idx="0">
                  <c:v>0.75</c:v>
                </c:pt>
                <c:pt idx="1">
                  <c:v>8.3333333333333329E-2</c:v>
                </c:pt>
                <c:pt idx="2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43-40B1-AE45-1F19753093F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576538469881352"/>
          <c:y val="0.41904907341127812"/>
          <c:w val="0.31770568968135182"/>
          <c:h val="0.4535382168138073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East Midlands - Number of family households supported, as at end of quarter 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131006780402449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'East Midlands'!$A$11</c:f>
              <c:strCache>
                <c:ptCount val="1"/>
                <c:pt idx="0">
                  <c:v>Number of financially supported households at end of quarter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'East Midlands'!$B$10:$E$10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'East Midlands'!$B$11:$E$11</c:f>
              <c:numCache>
                <c:formatCode>General</c:formatCode>
                <c:ptCount val="4"/>
                <c:pt idx="0">
                  <c:v>81</c:v>
                </c:pt>
                <c:pt idx="1">
                  <c:v>76</c:v>
                </c:pt>
                <c:pt idx="2">
                  <c:v>80</c:v>
                </c:pt>
                <c:pt idx="3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9-409B-A354-56724DB6B40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34847135"/>
        <c:axId val="1734847551"/>
      </c:lineChart>
      <c:catAx>
        <c:axId val="173484713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847551"/>
        <c:crosses val="autoZero"/>
        <c:auto val="1"/>
        <c:lblAlgn val="ctr"/>
        <c:lblOffset val="100"/>
        <c:noMultiLvlLbl val="0"/>
      </c:catAx>
      <c:valAx>
        <c:axId val="173484755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847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East Midlands - Number of adult households supported, as at end of quarter 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13526783892946023"/>
          <c:y val="3.48583877995642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'East Midlands'!$A$34</c:f>
              <c:strCache>
                <c:ptCount val="1"/>
                <c:pt idx="0">
                  <c:v>Number of financially supported households at end of quarter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'East Midlands'!$B$33:$E$33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'East Midlands'!$B$34:$E$34</c:f>
              <c:numCache>
                <c:formatCode>General</c:formatCode>
                <c:ptCount val="4"/>
                <c:pt idx="0">
                  <c:v>19</c:v>
                </c:pt>
                <c:pt idx="1">
                  <c:v>20</c:v>
                </c:pt>
                <c:pt idx="2">
                  <c:v>24</c:v>
                </c:pt>
                <c:pt idx="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7-427B-84DF-0BF86D128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2777279"/>
        <c:axId val="1466051231"/>
      </c:lineChart>
      <c:catAx>
        <c:axId val="160277727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051231"/>
        <c:crosses val="autoZero"/>
        <c:auto val="1"/>
        <c:lblAlgn val="ctr"/>
        <c:lblOffset val="100"/>
        <c:noMultiLvlLbl val="0"/>
      </c:catAx>
      <c:valAx>
        <c:axId val="146605123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2777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East Midlands - Number of looked after children and care leavers open as at end of quarter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'East Midlands'!$A$56</c:f>
              <c:strCache>
                <c:ptCount val="1"/>
                <c:pt idx="0">
                  <c:v>Number of open cases 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'East Midlands'!$B$55:$E$55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'East Midlands'!$B$56:$E$56</c:f>
              <c:numCache>
                <c:formatCode>General</c:formatCode>
                <c:ptCount val="4"/>
                <c:pt idx="0">
                  <c:v>481</c:v>
                </c:pt>
                <c:pt idx="1">
                  <c:v>482</c:v>
                </c:pt>
                <c:pt idx="2">
                  <c:v>498</c:v>
                </c:pt>
                <c:pt idx="3">
                  <c:v>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C-4212-A4C6-96BCFEA6C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803935"/>
        <c:axId val="161796031"/>
      </c:lineChart>
      <c:catAx>
        <c:axId val="16180393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796031"/>
        <c:crosses val="autoZero"/>
        <c:auto val="1"/>
        <c:lblAlgn val="ctr"/>
        <c:lblOffset val="100"/>
        <c:noMultiLvlLbl val="0"/>
      </c:catAx>
      <c:valAx>
        <c:axId val="16179603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803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East Midlands - Closure reason family cases - all closures in the year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'East Midlands'!$B$75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0F0-4B0C-9991-5B70384B04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0F0-4B0C-9991-5B70384B04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0F0-4B0C-9991-5B70384B04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21B-450E-AA03-042CCED9D1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0F0-4B0C-9991-5B70384B045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0F0-4B0C-9991-5B70384B045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F0F0-4B0C-9991-5B70384B045F}"/>
              </c:ext>
            </c:extLst>
          </c:dPt>
          <c:dLbls>
            <c:dLbl>
              <c:idx val="0"/>
              <c:layout>
                <c:manualLayout>
                  <c:x val="-2.9254296841927065E-2"/>
                  <c:y val="0.1178630753347612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F0-4B0C-9991-5B70384B045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F0-4B0C-9991-5B70384B045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F0-4B0C-9991-5B70384B045F}"/>
                </c:ext>
              </c:extLst>
            </c:dLbl>
            <c:dLbl>
              <c:idx val="4"/>
              <c:layout>
                <c:manualLayout>
                  <c:x val="0.1192998052662772"/>
                  <c:y val="1.849207205263718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F0-4B0C-9991-5B70384B045F}"/>
                </c:ext>
              </c:extLst>
            </c:dLbl>
            <c:dLbl>
              <c:idx val="5"/>
              <c:layout>
                <c:manualLayout>
                  <c:x val="-2.0992930319193966E-2"/>
                  <c:y val="-6.767739648982236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F0-4B0C-9991-5B70384B045F}"/>
                </c:ext>
              </c:extLst>
            </c:dLbl>
            <c:dLbl>
              <c:idx val="6"/>
              <c:layout>
                <c:manualLayout>
                  <c:x val="6.4839133011599381E-2"/>
                  <c:y val="0.1354620398477587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F0-4B0C-9991-5B70384B045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Midlands'!$A$76:$A$82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'East Midlands'!$B$76:$B$82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42</c:v>
                </c:pt>
                <c:pt idx="4">
                  <c:v>11</c:v>
                </c:pt>
                <c:pt idx="5">
                  <c:v>2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0-4B0C-9991-5B70384B045F}"/>
            </c:ext>
          </c:extLst>
        </c:ser>
        <c:ser>
          <c:idx val="1"/>
          <c:order val="1"/>
          <c:tx>
            <c:strRef>
              <c:f>'East Midlands'!$C$75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21B-450E-AA03-042CCED9D1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21B-450E-AA03-042CCED9D1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121B-450E-AA03-042CCED9D1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121B-450E-AA03-042CCED9D1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21B-450E-AA03-042CCED9D1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121B-450E-AA03-042CCED9D1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121B-450E-AA03-042CCED9D16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Midlands'!$A$76:$A$82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'East Midlands'!$C$76:$C$82</c:f>
              <c:numCache>
                <c:formatCode>0%</c:formatCode>
                <c:ptCount val="7"/>
                <c:pt idx="0">
                  <c:v>5.8823529411764705E-2</c:v>
                </c:pt>
                <c:pt idx="1">
                  <c:v>0</c:v>
                </c:pt>
                <c:pt idx="2">
                  <c:v>0</c:v>
                </c:pt>
                <c:pt idx="3">
                  <c:v>0.61764705882352944</c:v>
                </c:pt>
                <c:pt idx="4">
                  <c:v>0.16176470588235295</c:v>
                </c:pt>
                <c:pt idx="5">
                  <c:v>2.9411764705882353E-2</c:v>
                </c:pt>
                <c:pt idx="6">
                  <c:v>0.13235294117647059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F0-4B0C-9991-5B70384B045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28571428571429"/>
          <c:y val="0.17677847355694712"/>
          <c:w val="0.34126984126984128"/>
          <c:h val="0.7691989583979169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East Midlnds - Closure reason adult cases - all closures in the year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'East Midlands'!$B$96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551-40FC-9508-D1D576F274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355-4BD3-8A6B-E1A8FD5C63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551-40FC-9508-D1D576F274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355-4BD3-8A6B-E1A8FD5C63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355-4BD3-8A6B-E1A8FD5C63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551-40FC-9508-D1D576F274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355-4BD3-8A6B-E1A8FD5C635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51-40FC-9508-D1D576F274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51-40FC-9508-D1D576F2742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51-40FC-9508-D1D576F2742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Midlands'!$A$97:$A$103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'East Midlands'!$B$97:$B$103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1-40FC-9508-D1D576F27422}"/>
            </c:ext>
          </c:extLst>
        </c:ser>
        <c:ser>
          <c:idx val="1"/>
          <c:order val="1"/>
          <c:tx>
            <c:strRef>
              <c:f>'East Midlands'!$C$96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355-4BD3-8A6B-E1A8FD5C63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355-4BD3-8A6B-E1A8FD5C63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E355-4BD3-8A6B-E1A8FD5C63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E355-4BD3-8A6B-E1A8FD5C63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E355-4BD3-8A6B-E1A8FD5C63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E355-4BD3-8A6B-E1A8FD5C63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E355-4BD3-8A6B-E1A8FD5C635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Midlands'!$A$97:$A$103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'East Midlands'!$C$97:$C$103</c:f>
              <c:numCache>
                <c:formatCode>0%</c:formatCode>
                <c:ptCount val="7"/>
                <c:pt idx="0">
                  <c:v>0</c:v>
                </c:pt>
                <c:pt idx="1">
                  <c:v>0.12</c:v>
                </c:pt>
                <c:pt idx="2">
                  <c:v>0</c:v>
                </c:pt>
                <c:pt idx="3">
                  <c:v>0.25</c:v>
                </c:pt>
                <c:pt idx="4">
                  <c:v>0.25</c:v>
                </c:pt>
                <c:pt idx="5">
                  <c:v>0</c:v>
                </c:pt>
                <c:pt idx="6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1-40FC-9508-D1D576F2742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East Midlands - Immigration status, family households financially supported 31 March 2022</a:t>
            </a:r>
            <a:endParaRPr lang="en-GB" sz="14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740370291551387E-2"/>
          <c:y val="0.21690717028492881"/>
          <c:w val="0.52795935305384112"/>
          <c:h val="0.74134709916478647"/>
        </c:manualLayout>
      </c:layout>
      <c:pieChart>
        <c:varyColors val="1"/>
        <c:ser>
          <c:idx val="0"/>
          <c:order val="0"/>
          <c:tx>
            <c:strRef>
              <c:f>'East Midlands'!$G$117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59E-4906-B4AD-2E339A6817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59E-4906-B4AD-2E339A6817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59E-4906-B4AD-2E339A6817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59E-4906-B4AD-2E339A68172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59E-4906-B4AD-2E339A68172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Midlands'!$F$118:$F$122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'East Midlands'!$G$118:$G$122</c:f>
              <c:numCache>
                <c:formatCode>General</c:formatCode>
                <c:ptCount val="5"/>
                <c:pt idx="0">
                  <c:v>8</c:v>
                </c:pt>
                <c:pt idx="1">
                  <c:v>27</c:v>
                </c:pt>
                <c:pt idx="2">
                  <c:v>8</c:v>
                </c:pt>
                <c:pt idx="3">
                  <c:v>14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1-4687-90D8-8A0F65AA967C}"/>
            </c:ext>
          </c:extLst>
        </c:ser>
        <c:ser>
          <c:idx val="1"/>
          <c:order val="1"/>
          <c:tx>
            <c:strRef>
              <c:f>'East Midlands'!$H$117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59E-4906-B4AD-2E339A6817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59E-4906-B4AD-2E339A6817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59E-4906-B4AD-2E339A6817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59E-4906-B4AD-2E339A68172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E59E-4906-B4AD-2E339A68172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Midlands'!$F$118:$F$122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'East Midlands'!$H$118:$H$122</c:f>
              <c:numCache>
                <c:formatCode>0%</c:formatCode>
                <c:ptCount val="5"/>
                <c:pt idx="0">
                  <c:v>0.1</c:v>
                </c:pt>
                <c:pt idx="1">
                  <c:v>0.35526315789473684</c:v>
                </c:pt>
                <c:pt idx="2">
                  <c:v>0.10526315789473684</c:v>
                </c:pt>
                <c:pt idx="3">
                  <c:v>0.18421052631578946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81-4687-90D8-8A0F65AA967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208874228559268"/>
          <c:y val="0.30721779796500776"/>
          <c:w val="0.31169504149819111"/>
          <c:h val="0.579700877048812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East Midlands - Immigration status, adult households financially supported 31 March 2022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'East Midlands'!$G$146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6E1-43EA-A680-7ED8498934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E1A-44DF-AFA5-792047E3F3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E1A-44DF-AFA5-792047E3F34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6E1-43EA-A680-7ED849893400}"/>
              </c:ext>
            </c:extLst>
          </c:dPt>
          <c:dLbls>
            <c:dLbl>
              <c:idx val="1"/>
              <c:layout>
                <c:manualLayout>
                  <c:x val="7.8493301973616939E-2"/>
                  <c:y val="-0.1228775101337186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1A-44DF-AFA5-792047E3F349}"/>
                </c:ext>
              </c:extLst>
            </c:dLbl>
            <c:dLbl>
              <c:idx val="2"/>
              <c:layout>
                <c:manualLayout>
                  <c:x val="7.4860006135596666E-2"/>
                  <c:y val="-6.373604187050582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1A-44DF-AFA5-792047E3F34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Midlands'!$F$147:$F$150</c:f>
              <c:strCache>
                <c:ptCount val="4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recourse</c:v>
                </c:pt>
                <c:pt idx="3">
                  <c:v>No current immigration permission</c:v>
                </c:pt>
              </c:strCache>
            </c:strRef>
          </c:cat>
          <c:val>
            <c:numRef>
              <c:f>'East Midlands'!$G$147:$G$150</c:f>
              <c:numCache>
                <c:formatCode>General</c:formatCode>
                <c:ptCount val="4"/>
                <c:pt idx="0">
                  <c:v>12</c:v>
                </c:pt>
                <c:pt idx="1">
                  <c:v>2</c:v>
                </c:pt>
                <c:pt idx="2">
                  <c:v>1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A-44DF-AFA5-792047E3F349}"/>
            </c:ext>
          </c:extLst>
        </c:ser>
        <c:ser>
          <c:idx val="1"/>
          <c:order val="1"/>
          <c:tx>
            <c:strRef>
              <c:f>'East Midlands'!$H$146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6E1-43EA-A680-7ED8498934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6E1-43EA-A680-7ED8498934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6E1-43EA-A680-7ED8498934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6E1-43EA-A680-7ED84989340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Midlands'!$F$147:$F$150</c:f>
              <c:strCache>
                <c:ptCount val="4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recourse</c:v>
                </c:pt>
                <c:pt idx="3">
                  <c:v>No current immigration permission</c:v>
                </c:pt>
              </c:strCache>
            </c:strRef>
          </c:cat>
          <c:val>
            <c:numRef>
              <c:f>'East Midlands'!$H$147:$H$150</c:f>
              <c:numCache>
                <c:formatCode>0%</c:formatCode>
                <c:ptCount val="4"/>
                <c:pt idx="0">
                  <c:v>0.54545454545454541</c:v>
                </c:pt>
                <c:pt idx="1">
                  <c:v>9.0909090909090912E-2</c:v>
                </c:pt>
                <c:pt idx="2">
                  <c:v>0.04</c:v>
                </c:pt>
                <c:pt idx="3">
                  <c:v>0.31818181818181818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1A-44DF-AFA5-792047E3F34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04885980161571"/>
          <c:y val="0.29482054388171891"/>
          <c:w val="0.33392698639942736"/>
          <c:h val="0.5798853841494665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East Midlands - Immigration status, looked after children and care leavers, open 31 March 2022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'East Midlands'!$G$173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690-4904-A06B-FB1CA4C99A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93F-4AAE-AAE3-5EEA957CD5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93F-4AAE-AAE3-5EEA957CD5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93F-4AAE-AAE3-5EEA957CD5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690-4904-A06B-FB1CA4C99A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690-4904-A06B-FB1CA4C99A94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3F-4AAE-AAE3-5EEA957CD559}"/>
                </c:ext>
              </c:extLst>
            </c:dLbl>
            <c:dLbl>
              <c:idx val="2"/>
              <c:layout>
                <c:manualLayout>
                  <c:x val="4.3648968686112177E-2"/>
                  <c:y val="1.445127487608458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3F-4AAE-AAE3-5EEA957CD55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3F-4AAE-AAE3-5EEA957CD55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Midlands'!$F$174:$F$179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'East Midlands'!$G$174:$G$179</c:f>
              <c:numCache>
                <c:formatCode>General</c:formatCode>
                <c:ptCount val="6"/>
                <c:pt idx="0">
                  <c:v>193</c:v>
                </c:pt>
                <c:pt idx="1">
                  <c:v>1</c:v>
                </c:pt>
                <c:pt idx="2">
                  <c:v>11</c:v>
                </c:pt>
                <c:pt idx="3">
                  <c:v>1</c:v>
                </c:pt>
                <c:pt idx="4">
                  <c:v>230</c:v>
                </c:pt>
                <c:pt idx="5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F-4AAE-AAE3-5EEA957CD559}"/>
            </c:ext>
          </c:extLst>
        </c:ser>
        <c:ser>
          <c:idx val="1"/>
          <c:order val="1"/>
          <c:tx>
            <c:strRef>
              <c:f>'East Midlands'!$H$173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690-4904-A06B-FB1CA4C99A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690-4904-A06B-FB1CA4C99A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690-4904-A06B-FB1CA4C99A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9690-4904-A06B-FB1CA4C99A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9690-4904-A06B-FB1CA4C99A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9690-4904-A06B-FB1CA4C99A9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Midlands'!$F$174:$F$179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'East Midlands'!$H$174:$H$179</c:f>
              <c:numCache>
                <c:formatCode>0%</c:formatCode>
                <c:ptCount val="6"/>
                <c:pt idx="0">
                  <c:v>0.3754863813229572</c:v>
                </c:pt>
                <c:pt idx="1">
                  <c:v>1.9455252918287938E-3</c:v>
                </c:pt>
                <c:pt idx="2">
                  <c:v>2.1400778210116732E-2</c:v>
                </c:pt>
                <c:pt idx="3">
                  <c:v>1.9455252918287938E-3</c:v>
                </c:pt>
                <c:pt idx="4">
                  <c:v>0.44747081712062259</c:v>
                </c:pt>
                <c:pt idx="5">
                  <c:v>0.1517509727626459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3F-4AAE-AAE3-5EEA957CD55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East Midlands - Immigration status, family households referred  2021-2022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'East Midlands'!$G$203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ED2-46FA-92DD-94D8C79052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D3E-47C2-9AAE-BF244B9F80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ED2-46FA-92DD-94D8C79052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ED2-46FA-92DD-94D8C79052C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ED2-46FA-92DD-94D8C79052C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ED2-46FA-92DD-94D8C79052CA}"/>
              </c:ext>
            </c:extLst>
          </c:dPt>
          <c:dLbls>
            <c:dLbl>
              <c:idx val="1"/>
              <c:layout>
                <c:manualLayout>
                  <c:x val="2.2184192165852688E-2"/>
                  <c:y val="6.7326584176977877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3E-47C2-9AAE-BF244B9F805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Midlands'!$F$204:$F$209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'East Midlands'!$G$204:$G$209</c:f>
              <c:numCache>
                <c:formatCode>General</c:formatCode>
                <c:ptCount val="6"/>
                <c:pt idx="0">
                  <c:v>53</c:v>
                </c:pt>
                <c:pt idx="1">
                  <c:v>6</c:v>
                </c:pt>
                <c:pt idx="2">
                  <c:v>121</c:v>
                </c:pt>
                <c:pt idx="3">
                  <c:v>41</c:v>
                </c:pt>
                <c:pt idx="4">
                  <c:v>64</c:v>
                </c:pt>
                <c:pt idx="5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E-47C2-9AAE-BF244B9F8059}"/>
            </c:ext>
          </c:extLst>
        </c:ser>
        <c:ser>
          <c:idx val="1"/>
          <c:order val="1"/>
          <c:tx>
            <c:strRef>
              <c:f>'East Midlands'!$H$203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ED2-46FA-92DD-94D8C79052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ED2-46FA-92DD-94D8C79052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ED2-46FA-92DD-94D8C79052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ED2-46FA-92DD-94D8C79052C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ED2-46FA-92DD-94D8C79052C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ED2-46FA-92DD-94D8C79052C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Midlands'!$F$204:$F$209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'East Midlands'!$H$204:$H$209</c:f>
              <c:numCache>
                <c:formatCode>0%</c:formatCode>
                <c:ptCount val="6"/>
                <c:pt idx="0">
                  <c:v>0.16257668711656442</c:v>
                </c:pt>
                <c:pt idx="1">
                  <c:v>1.8404907975460124E-2</c:v>
                </c:pt>
                <c:pt idx="2">
                  <c:v>0.37116564417177916</c:v>
                </c:pt>
                <c:pt idx="3">
                  <c:v>0.12576687116564417</c:v>
                </c:pt>
                <c:pt idx="4">
                  <c:v>0.19631901840490798</c:v>
                </c:pt>
                <c:pt idx="5">
                  <c:v>0.12576687116564417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E-47C2-9AAE-BF244B9F805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Number of adult households supported, as at end of quarter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local authorities'!$A$34</c:f>
              <c:strCache>
                <c:ptCount val="1"/>
                <c:pt idx="0">
                  <c:v>Number of financially supported households at end of quarter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local authorities'!$B$33:$E$33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'All local authorities'!$B$34:$E$34</c:f>
              <c:numCache>
                <c:formatCode>General</c:formatCode>
                <c:ptCount val="4"/>
                <c:pt idx="0">
                  <c:v>801</c:v>
                </c:pt>
                <c:pt idx="1">
                  <c:v>806</c:v>
                </c:pt>
                <c:pt idx="2">
                  <c:v>820</c:v>
                </c:pt>
                <c:pt idx="3">
                  <c:v>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1-458B-822E-61BC4DFA7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3743231"/>
        <c:axId val="1763741151"/>
      </c:lineChart>
      <c:catAx>
        <c:axId val="176374323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3741151"/>
        <c:crosses val="autoZero"/>
        <c:auto val="1"/>
        <c:lblAlgn val="ctr"/>
        <c:lblOffset val="100"/>
        <c:noMultiLvlLbl val="0"/>
      </c:catAx>
      <c:valAx>
        <c:axId val="176374115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3743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East Midlands - Immigration status, adult households referred 2021-2022</a:t>
            </a:r>
            <a:r>
              <a:rPr lang="en-US" sz="140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'East Midlands'!$G$235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E7-45BC-B397-185325D982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87C-4CE7-A02C-21822BC6FE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E7-45BC-B397-185325D982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E7-45BC-B397-185325D9821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E7-45BC-B397-185325D9821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4E7-45BC-B397-185325D98210}"/>
              </c:ext>
            </c:extLst>
          </c:dPt>
          <c:dLbls>
            <c:dLbl>
              <c:idx val="1"/>
              <c:layout>
                <c:manualLayout>
                  <c:x val="9.8999263023156585E-3"/>
                  <c:y val="9.883257280225678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7C-4CE7-A02C-21822BC6FE2B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Midlands'!$F$236:$F$241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'East Midlands'!$G$236:$G$241</c:f>
              <c:numCache>
                <c:formatCode>General</c:formatCode>
                <c:ptCount val="6"/>
                <c:pt idx="0">
                  <c:v>13</c:v>
                </c:pt>
                <c:pt idx="1">
                  <c:v>2</c:v>
                </c:pt>
                <c:pt idx="2">
                  <c:v>43</c:v>
                </c:pt>
                <c:pt idx="3">
                  <c:v>9</c:v>
                </c:pt>
                <c:pt idx="4">
                  <c:v>10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7C-4CE7-A02C-21822BC6FE2B}"/>
            </c:ext>
          </c:extLst>
        </c:ser>
        <c:ser>
          <c:idx val="1"/>
          <c:order val="1"/>
          <c:tx>
            <c:strRef>
              <c:f>'East Midlands'!$H$235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4E7-45BC-B397-185325D982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4E7-45BC-B397-185325D982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4E7-45BC-B397-185325D982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C4E7-45BC-B397-185325D9821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C4E7-45BC-B397-185325D9821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C4E7-45BC-B397-185325D9821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Midlands'!$F$236:$F$241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'East Midlands'!$H$236:$H$241</c:f>
              <c:numCache>
                <c:formatCode>0%</c:formatCode>
                <c:ptCount val="6"/>
                <c:pt idx="0">
                  <c:v>0.14130434782608695</c:v>
                </c:pt>
                <c:pt idx="1">
                  <c:v>2.1739130434782608E-2</c:v>
                </c:pt>
                <c:pt idx="2">
                  <c:v>0.46739130434782611</c:v>
                </c:pt>
                <c:pt idx="3">
                  <c:v>9.7826086956521743E-2</c:v>
                </c:pt>
                <c:pt idx="4">
                  <c:v>0.10869565217391304</c:v>
                </c:pt>
                <c:pt idx="5">
                  <c:v>0.16304347826086957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7C-4CE7-A02C-21822BC6FE2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817171560451492"/>
          <c:y val="0.25223682505865924"/>
          <c:w val="0.33704995927233233"/>
          <c:h val="0.6599686190962875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East of England - Number of family households supported, as at end of quarter 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14547222222222222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'East of England'!$A$11</c:f>
              <c:strCache>
                <c:ptCount val="1"/>
                <c:pt idx="0">
                  <c:v>Number of financially supported households at end of quarter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'East of England'!$B$10:$E$10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'East of England'!$B$11:$E$11</c:f>
              <c:numCache>
                <c:formatCode>General</c:formatCode>
                <c:ptCount val="4"/>
                <c:pt idx="0">
                  <c:v>79</c:v>
                </c:pt>
                <c:pt idx="1">
                  <c:v>71</c:v>
                </c:pt>
                <c:pt idx="2">
                  <c:v>66</c:v>
                </c:pt>
                <c:pt idx="3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C-4FF2-B685-66C256677E5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37195359"/>
        <c:axId val="137189535"/>
      </c:lineChart>
      <c:catAx>
        <c:axId val="13719535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89535"/>
        <c:crosses val="autoZero"/>
        <c:auto val="1"/>
        <c:lblAlgn val="ctr"/>
        <c:lblOffset val="100"/>
        <c:noMultiLvlLbl val="0"/>
      </c:catAx>
      <c:valAx>
        <c:axId val="13718953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95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cap="none" baseline="0">
                <a:effectLst/>
              </a:rPr>
              <a:t>East of England - </a:t>
            </a:r>
            <a:r>
              <a:rPr lang="en-US" sz="1400" b="1" i="0" baseline="0">
                <a:effectLst/>
              </a:rPr>
              <a:t>Number of adult households supported, as at end of quarter 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14488016866744113"/>
          <c:y val="4.4642857142857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'East of England'!$A$34</c:f>
              <c:strCache>
                <c:ptCount val="1"/>
                <c:pt idx="0">
                  <c:v>Number of financially supported households at end of quarter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'East of England'!$B$33:$E$33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'East of England'!$B$34:$E$34</c:f>
              <c:numCache>
                <c:formatCode>General</c:formatCode>
                <c:ptCount val="4"/>
                <c:pt idx="0">
                  <c:v>50</c:v>
                </c:pt>
                <c:pt idx="1">
                  <c:v>46</c:v>
                </c:pt>
                <c:pt idx="2">
                  <c:v>47</c:v>
                </c:pt>
                <c:pt idx="3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E-4580-BAF1-A6108EA6E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160463"/>
        <c:axId val="142148815"/>
      </c:lineChart>
      <c:catAx>
        <c:axId val="142160463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48815"/>
        <c:crosses val="autoZero"/>
        <c:auto val="1"/>
        <c:lblAlgn val="ctr"/>
        <c:lblOffset val="100"/>
        <c:noMultiLvlLbl val="0"/>
      </c:catAx>
      <c:valAx>
        <c:axId val="14214881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60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cap="none" baseline="0">
                <a:effectLst/>
              </a:rPr>
              <a:t>East of England - </a:t>
            </a:r>
            <a:r>
              <a:rPr lang="en-US" sz="1400" b="1" i="0" baseline="0">
                <a:effectLst/>
              </a:rPr>
              <a:t>Number of looked after children and care leavers open as at end of quarter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'East of England'!$A$56</c:f>
              <c:strCache>
                <c:ptCount val="1"/>
                <c:pt idx="0">
                  <c:v>Number of open cases 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'East of England'!$B$55:$E$55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'East of England'!$B$56:$E$56</c:f>
              <c:numCache>
                <c:formatCode>General</c:formatCode>
                <c:ptCount val="4"/>
                <c:pt idx="0">
                  <c:v>279</c:v>
                </c:pt>
                <c:pt idx="1">
                  <c:v>280</c:v>
                </c:pt>
                <c:pt idx="2">
                  <c:v>279</c:v>
                </c:pt>
                <c:pt idx="3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3-4FB3-B3F8-0EE97E79921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2140911"/>
        <c:axId val="142134255"/>
      </c:lineChart>
      <c:catAx>
        <c:axId val="14214091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34255"/>
        <c:crosses val="autoZero"/>
        <c:auto val="1"/>
        <c:lblAlgn val="ctr"/>
        <c:lblOffset val="100"/>
        <c:noMultiLvlLbl val="0"/>
      </c:catAx>
      <c:valAx>
        <c:axId val="14213425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40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East of England - Closure reason family cases - all closures in the year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'East of England'!$B$76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614-4803-A7F9-299AC170AD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614-4803-A7F9-299AC170AD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614-4803-A7F9-299AC170AD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6F2-4FA4-9F8E-055E7D8EFA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614-4803-A7F9-299AC170AD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E614-4803-A7F9-299AC170AD42}"/>
              </c:ext>
            </c:extLst>
          </c:dPt>
          <c:dPt>
            <c:idx val="6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614-4803-A7F9-299AC170AD42}"/>
              </c:ext>
            </c:extLst>
          </c:dPt>
          <c:dLbls>
            <c:dLbl>
              <c:idx val="0"/>
              <c:layout>
                <c:manualLayout>
                  <c:x val="-1.947732119422577E-2"/>
                  <c:y val="0.115217252019086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14-4803-A7F9-299AC170AD4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14-4803-A7F9-299AC170AD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14-4803-A7F9-299AC170AD42}"/>
                </c:ext>
              </c:extLst>
            </c:dLbl>
            <c:dLbl>
              <c:idx val="4"/>
              <c:layout>
                <c:manualLayout>
                  <c:x val="8.8213377624671921E-2"/>
                  <c:y val="5.595407105161097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14-4803-A7F9-299AC170AD42}"/>
                </c:ext>
              </c:extLst>
            </c:dLbl>
            <c:dLbl>
              <c:idx val="5"/>
              <c:layout>
                <c:manualLayout>
                  <c:x val="-2.022596784776904E-2"/>
                  <c:y val="-4.088721779156620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14-4803-A7F9-299AC170AD42}"/>
                </c:ext>
              </c:extLst>
            </c:dLbl>
            <c:dLbl>
              <c:idx val="6"/>
              <c:layout>
                <c:manualLayout>
                  <c:x val="7.1585465879265051E-2"/>
                  <c:y val="0.1302868030147194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14-4803-A7F9-299AC170AD4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of England'!$A$77:$A$83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'East of England'!$B$77:$B$83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49</c:v>
                </c:pt>
                <c:pt idx="4">
                  <c:v>7</c:v>
                </c:pt>
                <c:pt idx="5">
                  <c:v>2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4-4803-A7F9-299AC170AD42}"/>
            </c:ext>
          </c:extLst>
        </c:ser>
        <c:ser>
          <c:idx val="1"/>
          <c:order val="1"/>
          <c:tx>
            <c:strRef>
              <c:f>'East of England'!$C$76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6F2-4FA4-9F8E-055E7D8EFA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6F2-4FA4-9F8E-055E7D8EFA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6F2-4FA4-9F8E-055E7D8EFA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36F2-4FA4-9F8E-055E7D8EFA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36F2-4FA4-9F8E-055E7D8EFA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36F2-4FA4-9F8E-055E7D8EFA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36F2-4FA4-9F8E-055E7D8EFA8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of England'!$A$77:$A$83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'East of England'!$C$77:$C$83</c:f>
              <c:numCache>
                <c:formatCode>0%</c:formatCode>
                <c:ptCount val="7"/>
                <c:pt idx="0">
                  <c:v>4.2857142857142858E-2</c:v>
                </c:pt>
                <c:pt idx="1">
                  <c:v>0</c:v>
                </c:pt>
                <c:pt idx="2">
                  <c:v>0</c:v>
                </c:pt>
                <c:pt idx="3">
                  <c:v>0.7</c:v>
                </c:pt>
                <c:pt idx="4">
                  <c:v>0.1</c:v>
                </c:pt>
                <c:pt idx="5">
                  <c:v>2.8571428571428571E-2</c:v>
                </c:pt>
                <c:pt idx="6">
                  <c:v>0.12857142857142856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4-4803-A7F9-299AC170AD4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728613024934378"/>
          <c:y val="0.19146195897487336"/>
          <c:w val="0.33708886975065616"/>
          <c:h val="0.7537215172944146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East of England - Closure reason adult cases - all closures in the year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18987012987012988"/>
          <c:y val="1.7897091722595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'East of England'!$B$97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B923-415E-9674-328C8F24FF0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B923-415E-9674-328C8F24FF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923-415E-9674-328C8F24FF0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F75-4FF0-B1D7-44B7BE65B4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F75-4FF0-B1D7-44B7BE65B4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F75-4FF0-B1D7-44B7BE65B4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923-415E-9674-328C8F24FF0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23-415E-9674-328C8F24FF09}"/>
                </c:ext>
              </c:extLst>
            </c:dLbl>
            <c:dLbl>
              <c:idx val="1"/>
              <c:layout>
                <c:manualLayout>
                  <c:x val="-4.7998568360773132E-2"/>
                  <c:y val="0.1377149500607725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23-415E-9674-328C8F24FF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23-415E-9674-328C8F24FF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23-415E-9674-328C8F24FF0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of England'!$A$98:$A$104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'East of England'!$B$98:$B$104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23-415E-9674-328C8F24FF09}"/>
            </c:ext>
          </c:extLst>
        </c:ser>
        <c:ser>
          <c:idx val="1"/>
          <c:order val="1"/>
          <c:tx>
            <c:strRef>
              <c:f>'East of England'!$C$97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F75-4FF0-B1D7-44B7BE65B4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F75-4FF0-B1D7-44B7BE65B4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FF75-4FF0-B1D7-44B7BE65B4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FF75-4FF0-B1D7-44B7BE65B4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FF75-4FF0-B1D7-44B7BE65B4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FF75-4FF0-B1D7-44B7BE65B4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FF75-4FF0-B1D7-44B7BE65B47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of England'!$A$98:$A$104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'East of England'!$C$98:$C$104</c:f>
              <c:numCache>
                <c:formatCode>0%</c:formatCode>
                <c:ptCount val="7"/>
                <c:pt idx="0">
                  <c:v>0</c:v>
                </c:pt>
                <c:pt idx="1">
                  <c:v>9.0909090909090912E-2</c:v>
                </c:pt>
                <c:pt idx="2">
                  <c:v>0</c:v>
                </c:pt>
                <c:pt idx="3">
                  <c:v>0.18181818181818182</c:v>
                </c:pt>
                <c:pt idx="4">
                  <c:v>0.37</c:v>
                </c:pt>
                <c:pt idx="5">
                  <c:v>0.36363636363636365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23-415E-9674-328C8F24FF0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820227017077414"/>
          <c:y val="0.2012830946467262"/>
          <c:w val="0.33621331424481032"/>
          <c:h val="0.7701509052712606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East of England - Immigration status, family households financially supported 31 March 2022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'East of England'!$G$118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CA3-4017-9A3E-FD8DD103AE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CA3-4017-9A3E-FD8DD103AE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C6C-4829-97D1-65E77F0FB7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C6C-4829-97D1-65E77F0FB7E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C6C-4829-97D1-65E77F0FB7E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C6C-4829-97D1-65E77F0FB7E7}"/>
              </c:ext>
            </c:extLst>
          </c:dPt>
          <c:dLbls>
            <c:dLbl>
              <c:idx val="0"/>
              <c:layout>
                <c:manualLayout>
                  <c:x val="-4.0801296896711491E-2"/>
                  <c:y val="0.1450550878836882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A3-4017-9A3E-FD8DD103AE32}"/>
                </c:ext>
              </c:extLst>
            </c:dLbl>
            <c:dLbl>
              <c:idx val="1"/>
              <c:layout>
                <c:manualLayout>
                  <c:x val="4.0824858529512453E-2"/>
                  <c:y val="1.873622802907790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A3-4017-9A3E-FD8DD103AE3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of England'!$F$119:$F$124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'East of England'!$G$119:$G$124</c:f>
              <c:numCache>
                <c:formatCode>General</c:formatCode>
                <c:ptCount val="6"/>
                <c:pt idx="0">
                  <c:v>5</c:v>
                </c:pt>
                <c:pt idx="1">
                  <c:v>1</c:v>
                </c:pt>
                <c:pt idx="2">
                  <c:v>20</c:v>
                </c:pt>
                <c:pt idx="3">
                  <c:v>10</c:v>
                </c:pt>
                <c:pt idx="4">
                  <c:v>7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A3-4017-9A3E-FD8DD103AE32}"/>
            </c:ext>
          </c:extLst>
        </c:ser>
        <c:ser>
          <c:idx val="1"/>
          <c:order val="1"/>
          <c:tx>
            <c:strRef>
              <c:f>'East of England'!$H$118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C6C-4829-97D1-65E77F0FB7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C6C-4829-97D1-65E77F0FB7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C6C-4829-97D1-65E77F0FB7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DC6C-4829-97D1-65E77F0FB7E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DC6C-4829-97D1-65E77F0FB7E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DC6C-4829-97D1-65E77F0FB7E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of England'!$F$119:$F$124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'East of England'!$H$119:$H$124</c:f>
              <c:numCache>
                <c:formatCode>0%</c:formatCode>
                <c:ptCount val="6"/>
                <c:pt idx="0">
                  <c:v>8.1967213114754092E-2</c:v>
                </c:pt>
                <c:pt idx="1">
                  <c:v>1.6393442622950821E-2</c:v>
                </c:pt>
                <c:pt idx="2">
                  <c:v>0.32786885245901637</c:v>
                </c:pt>
                <c:pt idx="3">
                  <c:v>0.16393442622950818</c:v>
                </c:pt>
                <c:pt idx="4">
                  <c:v>0.11475409836065574</c:v>
                </c:pt>
                <c:pt idx="5">
                  <c:v>0.29508196721311475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A3-4017-9A3E-FD8DD103AE3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62176531002691"/>
          <c:y val="0.20187827769129627"/>
          <c:w val="0.32880278711964073"/>
          <c:h val="0.6967424849245090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East of England - </a:t>
            </a:r>
            <a:r>
              <a:rPr lang="en-US" sz="1400" b="1" i="0" baseline="0">
                <a:effectLst/>
              </a:rPr>
              <a:t>Immigration status, adult households financially supported 31 March 2022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'East of England'!$G$149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1E9-4943-8FAF-B04E81B1B9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04-45CA-9FE7-21A3AA16DA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1E9-4943-8FAF-B04E81B1B9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91E9-4943-8FAF-B04E81B1B9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91E9-4943-8FAF-B04E81B1B972}"/>
              </c:ext>
            </c:extLst>
          </c:dPt>
          <c:dLbls>
            <c:dLbl>
              <c:idx val="0"/>
              <c:layout>
                <c:manualLayout>
                  <c:x val="-3.2472203537371902E-2"/>
                  <c:y val="0.1330390161903919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E9-4943-8FAF-B04E81B1B972}"/>
                </c:ext>
              </c:extLst>
            </c:dLbl>
            <c:dLbl>
              <c:idx val="2"/>
              <c:layout>
                <c:manualLayout>
                  <c:x val="-3.0664543188382864E-2"/>
                  <c:y val="4.618066000176944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E9-4943-8FAF-B04E81B1B972}"/>
                </c:ext>
              </c:extLst>
            </c:dLbl>
            <c:dLbl>
              <c:idx val="3"/>
              <c:layout>
                <c:manualLayout>
                  <c:x val="2.5455340809671517E-3"/>
                  <c:y val="-6.32696926397713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E9-4943-8FAF-B04E81B1B972}"/>
                </c:ext>
              </c:extLst>
            </c:dLbl>
            <c:dLbl>
              <c:idx val="4"/>
              <c:layout>
                <c:manualLayout>
                  <c:x val="5.7580026114826099E-2"/>
                  <c:y val="0.1690514022825798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E9-4943-8FAF-B04E81B1B97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of England'!$F$150:$F$154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'East of England'!$G$150:$G$154</c:f>
              <c:numCache>
                <c:formatCode>General</c:formatCode>
                <c:ptCount val="5"/>
                <c:pt idx="0">
                  <c:v>4</c:v>
                </c:pt>
                <c:pt idx="1">
                  <c:v>33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9-4943-8FAF-B04E81B1B972}"/>
            </c:ext>
          </c:extLst>
        </c:ser>
        <c:ser>
          <c:idx val="1"/>
          <c:order val="1"/>
          <c:tx>
            <c:strRef>
              <c:f>'East of England'!$H$149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04-45CA-9FE7-21A3AA16DA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04-45CA-9FE7-21A3AA16DA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304-45CA-9FE7-21A3AA16DA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304-45CA-9FE7-21A3AA16DA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D304-45CA-9FE7-21A3AA16DA8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of England'!$F$150:$F$154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'East of England'!$H$150:$H$154</c:f>
              <c:numCache>
                <c:formatCode>0%</c:formatCode>
                <c:ptCount val="5"/>
                <c:pt idx="0">
                  <c:v>8.8888888888888892E-2</c:v>
                </c:pt>
                <c:pt idx="1">
                  <c:v>0.73333333333333328</c:v>
                </c:pt>
                <c:pt idx="2">
                  <c:v>2.2222222222222223E-2</c:v>
                </c:pt>
                <c:pt idx="3">
                  <c:v>0.05</c:v>
                </c:pt>
                <c:pt idx="4">
                  <c:v>0.1111111111111111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E9-4943-8FAF-B04E81B1B97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817931006706009"/>
          <c:y val="0.22384080171796708"/>
          <c:w val="0.32880278711964073"/>
          <c:h val="0.6557288475304223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East of England - Immigration status, looked after children and care leavers, open 31 March 2022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16667493796526053"/>
          <c:y val="1.8761726078799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'East of England'!$G$179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A29-4459-9119-371C9ED687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9B0-4267-9AC9-3C483392EF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B0-4267-9AC9-3C483392EF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9B0-4267-9AC9-3C483392EF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A29-4459-9119-371C9ED687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9B0-4267-9AC9-3C483392EF8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B0-4267-9AC9-3C483392EF83}"/>
                </c:ext>
              </c:extLst>
            </c:dLbl>
            <c:dLbl>
              <c:idx val="2"/>
              <c:layout>
                <c:manualLayout>
                  <c:x val="-7.1094742189484377E-3"/>
                  <c:y val="5.217916709754620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B0-4267-9AC9-3C483392EF8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B0-4267-9AC9-3C483392EF83}"/>
                </c:ext>
              </c:extLst>
            </c:dLbl>
            <c:dLbl>
              <c:idx val="5"/>
              <c:layout>
                <c:manualLayout>
                  <c:x val="4.2902444266426996E-2"/>
                  <c:y val="0.2020236072742314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B0-4267-9AC9-3C483392EF8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of England'!$F$180:$F$185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'East of England'!$G$180:$G$185</c:f>
              <c:numCache>
                <c:formatCode>General</c:formatCode>
                <c:ptCount val="6"/>
                <c:pt idx="0">
                  <c:v>182</c:v>
                </c:pt>
                <c:pt idx="1">
                  <c:v>1</c:v>
                </c:pt>
                <c:pt idx="2">
                  <c:v>9</c:v>
                </c:pt>
                <c:pt idx="3">
                  <c:v>1</c:v>
                </c:pt>
                <c:pt idx="4">
                  <c:v>70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B0-4267-9AC9-3C483392EF83}"/>
            </c:ext>
          </c:extLst>
        </c:ser>
        <c:ser>
          <c:idx val="1"/>
          <c:order val="1"/>
          <c:tx>
            <c:strRef>
              <c:f>'East of England'!$H$179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A29-4459-9119-371C9ED687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A29-4459-9119-371C9ED687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A29-4459-9119-371C9ED687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A29-4459-9119-371C9ED687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A29-4459-9119-371C9ED687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A29-4459-9119-371C9ED6878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of England'!$F$180:$F$185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'East of England'!$H$180:$H$185</c:f>
              <c:numCache>
                <c:formatCode>0%</c:formatCode>
                <c:ptCount val="6"/>
                <c:pt idx="0">
                  <c:v>0.64310954063604242</c:v>
                </c:pt>
                <c:pt idx="1">
                  <c:v>3.5335689045936395E-3</c:v>
                </c:pt>
                <c:pt idx="2">
                  <c:v>3.1802120141342753E-2</c:v>
                </c:pt>
                <c:pt idx="3">
                  <c:v>3.5335689045936395E-3</c:v>
                </c:pt>
                <c:pt idx="4">
                  <c:v>0.24734982332155478</c:v>
                </c:pt>
                <c:pt idx="5">
                  <c:v>7.0671378091872794E-2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B0-4267-9AC9-3C483392EF8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East of England - Immigration status, family households referred  2021-2022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'East of England'!$G$211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2A-42C7-9A10-52F97C0824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2A-42C7-9A10-52F97C08244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0DD-4FD9-8B0B-BB721B35C7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0DD-4FD9-8B0B-BB721B35C7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0DD-4FD9-8B0B-BB721B35C7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82A-42C7-9A10-52F97C082447}"/>
              </c:ext>
            </c:extLst>
          </c:dPt>
          <c:dLbls>
            <c:dLbl>
              <c:idx val="0"/>
              <c:layout>
                <c:manualLayout>
                  <c:x val="-5.9788216128156442E-2"/>
                  <c:y val="0.1543246400558311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2A-42C7-9A10-52F97C082447}"/>
                </c:ext>
              </c:extLst>
            </c:dLbl>
            <c:dLbl>
              <c:idx val="1"/>
              <c:layout>
                <c:manualLayout>
                  <c:x val="3.7993871455723117E-2"/>
                  <c:y val="7.347260783153515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2A-42C7-9A10-52F97C082447}"/>
                </c:ext>
              </c:extLst>
            </c:dLbl>
            <c:dLbl>
              <c:idx val="5"/>
              <c:layout>
                <c:manualLayout>
                  <c:x val="4.6642294713160858E-2"/>
                  <c:y val="0.1779078482241742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2A-42C7-9A10-52F97C08244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of England'!$F$212:$F$217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'East of England'!$G$212:$G$217</c:f>
              <c:numCache>
                <c:formatCode>General</c:formatCode>
                <c:ptCount val="6"/>
                <c:pt idx="0">
                  <c:v>16</c:v>
                </c:pt>
                <c:pt idx="1">
                  <c:v>2</c:v>
                </c:pt>
                <c:pt idx="2">
                  <c:v>47</c:v>
                </c:pt>
                <c:pt idx="3">
                  <c:v>27</c:v>
                </c:pt>
                <c:pt idx="4">
                  <c:v>40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A-42C7-9A10-52F97C082447}"/>
            </c:ext>
          </c:extLst>
        </c:ser>
        <c:ser>
          <c:idx val="1"/>
          <c:order val="1"/>
          <c:tx>
            <c:strRef>
              <c:f>'East of England'!$H$211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0DD-4FD9-8B0B-BB721B35C7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0DD-4FD9-8B0B-BB721B35C7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0DD-4FD9-8B0B-BB721B35C7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80DD-4FD9-8B0B-BB721B35C7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80DD-4FD9-8B0B-BB721B35C7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80DD-4FD9-8B0B-BB721B35C7D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of England'!$F$212:$F$217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'East of England'!$H$212:$H$217</c:f>
              <c:numCache>
                <c:formatCode>0%</c:formatCode>
                <c:ptCount val="6"/>
                <c:pt idx="0">
                  <c:v>0.1103448275862069</c:v>
                </c:pt>
                <c:pt idx="1">
                  <c:v>1.3793103448275862E-2</c:v>
                </c:pt>
                <c:pt idx="2">
                  <c:v>0.32413793103448274</c:v>
                </c:pt>
                <c:pt idx="3">
                  <c:v>0.18620689655172415</c:v>
                </c:pt>
                <c:pt idx="4">
                  <c:v>0.27586206896551724</c:v>
                </c:pt>
                <c:pt idx="5">
                  <c:v>8.9655172413793102E-2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2A-42C7-9A10-52F97C08244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817171560451492"/>
          <c:y val="0.21189507380941544"/>
          <c:w val="0.33704995927233233"/>
          <c:h val="0.7610844598182452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cap="none" baseline="0">
                <a:effectLst/>
              </a:rPr>
              <a:t>Number of looked after children and care leavers open as at end of quarter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local authorities'!$A$56</c:f>
              <c:strCache>
                <c:ptCount val="1"/>
                <c:pt idx="0">
                  <c:v>Number of open cases 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dLbl>
              <c:idx val="2"/>
              <c:layout>
                <c:manualLayout>
                  <c:x val="-2.6722222222222224E-2"/>
                  <c:y val="8.311747555134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32-4A56-8363-8981C96A90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local authorities'!$B$55:$E$55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'All local authorities'!$B$56:$E$56</c:f>
              <c:numCache>
                <c:formatCode>General</c:formatCode>
                <c:ptCount val="4"/>
                <c:pt idx="0">
                  <c:v>2578</c:v>
                </c:pt>
                <c:pt idx="1">
                  <c:v>2641</c:v>
                </c:pt>
                <c:pt idx="2">
                  <c:v>3061</c:v>
                </c:pt>
                <c:pt idx="3">
                  <c:v>2958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2-4A56-8363-8981C96A90D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23916719"/>
        <c:axId val="1723918799"/>
      </c:lineChart>
      <c:catAx>
        <c:axId val="172391671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3918799"/>
        <c:crosses val="autoZero"/>
        <c:auto val="1"/>
        <c:lblAlgn val="ctr"/>
        <c:lblOffset val="100"/>
        <c:noMultiLvlLbl val="0"/>
      </c:catAx>
      <c:valAx>
        <c:axId val="172391879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3916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East of England - Immigration status, adult households referred 2021-2022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'East of England'!$G$242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C27-4A52-8EED-4D5A31EE4E4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C27-4A52-8EED-4D5A31EE4E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68F-4365-8CD3-98119EB012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C27-4A52-8EED-4D5A31EE4E4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C27-4A52-8EED-4D5A31EE4E4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C27-4A52-8EED-4D5A31EE4E45}"/>
              </c:ext>
            </c:extLst>
          </c:dPt>
          <c:dLbls>
            <c:dLbl>
              <c:idx val="0"/>
              <c:layout>
                <c:manualLayout>
                  <c:x val="-2.3431492304512098E-2"/>
                  <c:y val="0.1060564182723912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27-4A52-8EED-4D5A31EE4E45}"/>
                </c:ext>
              </c:extLst>
            </c:dLbl>
            <c:dLbl>
              <c:idx val="1"/>
              <c:layout>
                <c:manualLayout>
                  <c:x val="4.3529588634356263E-2"/>
                  <c:y val="3.44525440813404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27-4A52-8EED-4D5A31EE4E45}"/>
                </c:ext>
              </c:extLst>
            </c:dLbl>
            <c:dLbl>
              <c:idx val="3"/>
              <c:layout>
                <c:manualLayout>
                  <c:x val="-3.1706725800086447E-2"/>
                  <c:y val="-1.761909631425941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27-4A52-8EED-4D5A31EE4E45}"/>
                </c:ext>
              </c:extLst>
            </c:dLbl>
            <c:dLbl>
              <c:idx val="4"/>
              <c:layout>
                <c:manualLayout>
                  <c:x val="7.6965591114953116E-2"/>
                  <c:y val="9.791506581157874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27-4A52-8EED-4D5A31EE4E45}"/>
                </c:ext>
              </c:extLst>
            </c:dLbl>
            <c:dLbl>
              <c:idx val="5"/>
              <c:layout>
                <c:manualLayout>
                  <c:x val="4.4512243248830172E-2"/>
                  <c:y val="0.1445169678465516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27-4A52-8EED-4D5A31EE4E4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of England'!$F$243:$F$248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'East of England'!$G$243:$G$248</c:f>
              <c:numCache>
                <c:formatCode>General</c:formatCode>
                <c:ptCount val="6"/>
                <c:pt idx="0">
                  <c:v>7</c:v>
                </c:pt>
                <c:pt idx="1">
                  <c:v>2</c:v>
                </c:pt>
                <c:pt idx="2">
                  <c:v>109</c:v>
                </c:pt>
                <c:pt idx="3">
                  <c:v>6</c:v>
                </c:pt>
                <c:pt idx="4">
                  <c:v>14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7-4A52-8EED-4D5A31EE4E45}"/>
            </c:ext>
          </c:extLst>
        </c:ser>
        <c:ser>
          <c:idx val="1"/>
          <c:order val="1"/>
          <c:tx>
            <c:strRef>
              <c:f>'East of England'!$H$242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68F-4365-8CD3-98119EB012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68F-4365-8CD3-98119EB012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68F-4365-8CD3-98119EB012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968F-4365-8CD3-98119EB012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968F-4365-8CD3-98119EB012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968F-4365-8CD3-98119EB012A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'East of England'!$F$243:$F$248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'East of England'!$H$243:$H$248</c:f>
              <c:numCache>
                <c:formatCode>0%</c:formatCode>
                <c:ptCount val="6"/>
                <c:pt idx="0">
                  <c:v>4.6052631578947366E-2</c:v>
                </c:pt>
                <c:pt idx="1">
                  <c:v>1.3157894736842105E-2</c:v>
                </c:pt>
                <c:pt idx="2">
                  <c:v>0.71710526315789469</c:v>
                </c:pt>
                <c:pt idx="3">
                  <c:v>3.9473684210526314E-2</c:v>
                </c:pt>
                <c:pt idx="4">
                  <c:v>9.2105263157894732E-2</c:v>
                </c:pt>
                <c:pt idx="5">
                  <c:v>9.2105263157894732E-2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27-4A52-8EED-4D5A31EE4E4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908762896284745"/>
          <c:y val="0.28932932084788104"/>
          <c:w val="0.32659256196794018"/>
          <c:h val="0.6252371700290710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Greater London - Number of family households supported, as at end of quarter 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14463068121846701"/>
          <c:y val="2.18818380743982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'Greater London'!$A$11</c:f>
              <c:strCache>
                <c:ptCount val="1"/>
                <c:pt idx="0">
                  <c:v>Number of financially supported households at end of quarter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'Greater London'!$B$10:$E$10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'Greater London'!$B$11:$E$11</c:f>
              <c:numCache>
                <c:formatCode>General</c:formatCode>
                <c:ptCount val="4"/>
                <c:pt idx="0">
                  <c:v>1025</c:v>
                </c:pt>
                <c:pt idx="1">
                  <c:v>1023</c:v>
                </c:pt>
                <c:pt idx="2">
                  <c:v>1028</c:v>
                </c:pt>
                <c:pt idx="3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8-4D06-AC4C-0F421A467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0094687"/>
        <c:axId val="1419548175"/>
      </c:lineChart>
      <c:catAx>
        <c:axId val="1810094687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548175"/>
        <c:crosses val="autoZero"/>
        <c:auto val="1"/>
        <c:lblAlgn val="ctr"/>
        <c:lblOffset val="100"/>
        <c:noMultiLvlLbl val="0"/>
      </c:catAx>
      <c:valAx>
        <c:axId val="141954817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0094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Greater London - Number of adult households supported, as at end of quarter 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16765864421189"/>
          <c:y val="4.62311929318694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'Greater London'!$A$34</c:f>
              <c:strCache>
                <c:ptCount val="1"/>
                <c:pt idx="0">
                  <c:v>Number of financially supported households at end of quarter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'Greater London'!$B$33:$E$33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'Greater London'!$B$34:$E$34</c:f>
              <c:numCache>
                <c:formatCode>General</c:formatCode>
                <c:ptCount val="4"/>
                <c:pt idx="0">
                  <c:v>552</c:v>
                </c:pt>
                <c:pt idx="1">
                  <c:v>550</c:v>
                </c:pt>
                <c:pt idx="2">
                  <c:v>568</c:v>
                </c:pt>
                <c:pt idx="3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B-493C-84AB-1B779EDE6DA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2156719"/>
        <c:axId val="142160047"/>
      </c:lineChart>
      <c:catAx>
        <c:axId val="14215671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60047"/>
        <c:crosses val="autoZero"/>
        <c:auto val="1"/>
        <c:lblAlgn val="ctr"/>
        <c:lblOffset val="100"/>
        <c:noMultiLvlLbl val="0"/>
      </c:catAx>
      <c:valAx>
        <c:axId val="14216004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56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Greater London - Number of looked after children and care leavers open as at end of quarter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'Greater London'!$A$56</c:f>
              <c:strCache>
                <c:ptCount val="1"/>
                <c:pt idx="0">
                  <c:v>Number of open cases 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'Greater London'!$B$55:$E$55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'Greater London'!$B$56:$E$56</c:f>
              <c:numCache>
                <c:formatCode>General</c:formatCode>
                <c:ptCount val="4"/>
                <c:pt idx="0">
                  <c:v>1343</c:v>
                </c:pt>
                <c:pt idx="1">
                  <c:v>1399</c:v>
                </c:pt>
                <c:pt idx="2">
                  <c:v>1411</c:v>
                </c:pt>
                <c:pt idx="3">
                  <c:v>1470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C-496C-BE71-7B6F77AA4F8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01334175"/>
        <c:axId val="2101342495"/>
      </c:lineChart>
      <c:catAx>
        <c:axId val="210133417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342495"/>
        <c:crosses val="autoZero"/>
        <c:auto val="1"/>
        <c:lblAlgn val="ctr"/>
        <c:lblOffset val="100"/>
        <c:noMultiLvlLbl val="0"/>
      </c:catAx>
      <c:valAx>
        <c:axId val="210134249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334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Greater London - Closure reason family cases - all closures in the year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0449307044166646E-2"/>
          <c:y val="0.17933980582524273"/>
          <c:w val="0.54881807528628113"/>
          <c:h val="0.7977128001314826"/>
        </c:manualLayout>
      </c:layout>
      <c:pieChart>
        <c:varyColors val="1"/>
        <c:ser>
          <c:idx val="0"/>
          <c:order val="0"/>
          <c:tx>
            <c:strRef>
              <c:f>'Greater London'!$B$74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FD-4D73-979F-AA21B3AC4F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FD-4D73-979F-AA21B3AC4F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B6FD-4D73-979F-AA21B3AC4F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2B3-4B0B-AEF9-852445A2A70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B6FD-4D73-979F-AA21B3AC4F3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FD-4D73-979F-AA21B3AC4F3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B6FD-4D73-979F-AA21B3AC4F38}"/>
              </c:ext>
            </c:extLst>
          </c:dPt>
          <c:dLbls>
            <c:dLbl>
              <c:idx val="0"/>
              <c:layout>
                <c:manualLayout>
                  <c:x val="-1.1808689008213595E-2"/>
                  <c:y val="9.779282929439649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FD-4D73-979F-AA21B3AC4F3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FD-4D73-979F-AA21B3AC4F3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FD-4D73-979F-AA21B3AC4F38}"/>
                </c:ext>
              </c:extLst>
            </c:dLbl>
            <c:dLbl>
              <c:idx val="4"/>
              <c:layout>
                <c:manualLayout>
                  <c:x val="0.11424867909788039"/>
                  <c:y val="8.40460786803926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FD-4D73-979F-AA21B3AC4F38}"/>
                </c:ext>
              </c:extLst>
            </c:dLbl>
            <c:dLbl>
              <c:idx val="5"/>
              <c:layout>
                <c:manualLayout>
                  <c:x val="-9.388992824983039E-3"/>
                  <c:y val="8.41279564912067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FD-4D73-979F-AA21B3AC4F38}"/>
                </c:ext>
              </c:extLst>
            </c:dLbl>
            <c:dLbl>
              <c:idx val="6"/>
              <c:layout>
                <c:manualLayout>
                  <c:x val="5.958203984293086E-2"/>
                  <c:y val="0.1310260126402605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FD-4D73-979F-AA21B3AC4F38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'Greater London'!$A$75:$A$81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'Greater London'!$B$75:$B$81</c:f>
              <c:numCache>
                <c:formatCode>General</c:formatCode>
                <c:ptCount val="7"/>
                <c:pt idx="0">
                  <c:v>27</c:v>
                </c:pt>
                <c:pt idx="1">
                  <c:v>1</c:v>
                </c:pt>
                <c:pt idx="2">
                  <c:v>0</c:v>
                </c:pt>
                <c:pt idx="3">
                  <c:v>523</c:v>
                </c:pt>
                <c:pt idx="4">
                  <c:v>94</c:v>
                </c:pt>
                <c:pt idx="5">
                  <c:v>14</c:v>
                </c:pt>
                <c:pt idx="6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D-4D73-979F-AA21B3AC4F38}"/>
            </c:ext>
          </c:extLst>
        </c:ser>
        <c:ser>
          <c:idx val="1"/>
          <c:order val="1"/>
          <c:tx>
            <c:strRef>
              <c:f>'Greater London'!$C$74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2B3-4B0B-AEF9-852445A2A7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2B3-4B0B-AEF9-852445A2A7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E2B3-4B0B-AEF9-852445A2A7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E2B3-4B0B-AEF9-852445A2A70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E2B3-4B0B-AEF9-852445A2A70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E2B3-4B0B-AEF9-852445A2A70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E2B3-4B0B-AEF9-852445A2A70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'Greater London'!$A$75:$A$81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'Greater London'!$C$75:$C$81</c:f>
              <c:numCache>
                <c:formatCode>0%</c:formatCode>
                <c:ptCount val="7"/>
                <c:pt idx="0">
                  <c:v>3.6834924965893585E-2</c:v>
                </c:pt>
                <c:pt idx="1">
                  <c:v>1.364256480218281E-3</c:v>
                </c:pt>
                <c:pt idx="2">
                  <c:v>0</c:v>
                </c:pt>
                <c:pt idx="3">
                  <c:v>0.71350613915416095</c:v>
                </c:pt>
                <c:pt idx="4">
                  <c:v>0.12824010914051842</c:v>
                </c:pt>
                <c:pt idx="5">
                  <c:v>1.9099590723055934E-2</c:v>
                </c:pt>
                <c:pt idx="6">
                  <c:v>0.1009549795361528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FD-4D73-979F-AA21B3AC4F3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Greater London - Closure reason adult cases - all closures in the year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373760098169535E-2"/>
          <c:y val="0.21247058823529411"/>
          <c:w val="0.49303896103896105"/>
          <c:h val="0.74439215686274507"/>
        </c:manualLayout>
      </c:layout>
      <c:pieChart>
        <c:varyColors val="1"/>
        <c:ser>
          <c:idx val="0"/>
          <c:order val="0"/>
          <c:tx>
            <c:strRef>
              <c:f>'Greater London'!$B$95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11-4EA3-8CA2-454D8F989A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211-4EA3-8CA2-454D8F989A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211-4EA3-8CA2-454D8F989A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F64-476F-9285-783AACB7EF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F64-476F-9285-783AACB7EF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F64-476F-9285-783AACB7EFB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F64-476F-9285-783AACB7EFB5}"/>
              </c:ext>
            </c:extLst>
          </c:dPt>
          <c:dLbls>
            <c:dLbl>
              <c:idx val="0"/>
              <c:layout>
                <c:manualLayout>
                  <c:x val="-2.3660906023110793E-2"/>
                  <c:y val="0.134738046012404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11-4EA3-8CA2-454D8F989A24}"/>
                </c:ext>
              </c:extLst>
            </c:dLbl>
            <c:dLbl>
              <c:idx val="1"/>
              <c:layout>
                <c:manualLayout>
                  <c:x val="-4.9892627057981483E-2"/>
                  <c:y val="9.795803457528702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11-4EA3-8CA2-454D8F989A24}"/>
                </c:ext>
              </c:extLst>
            </c:dLbl>
            <c:dLbl>
              <c:idx val="2"/>
              <c:layout>
                <c:manualLayout>
                  <c:x val="2.7283771346763474E-2"/>
                  <c:y val="1.06819748090147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1-4EA3-8CA2-454D8F989A2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'Greater London'!$A$96:$A$102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'Greater London'!$B$96:$B$102</c:f>
              <c:numCache>
                <c:formatCode>General</c:formatCode>
                <c:ptCount val="7"/>
                <c:pt idx="0">
                  <c:v>7</c:v>
                </c:pt>
                <c:pt idx="1">
                  <c:v>17</c:v>
                </c:pt>
                <c:pt idx="2">
                  <c:v>2</c:v>
                </c:pt>
                <c:pt idx="3">
                  <c:v>97</c:v>
                </c:pt>
                <c:pt idx="4">
                  <c:v>33</c:v>
                </c:pt>
                <c:pt idx="5">
                  <c:v>14</c:v>
                </c:pt>
                <c:pt idx="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1-4EA3-8CA2-454D8F989A24}"/>
            </c:ext>
          </c:extLst>
        </c:ser>
        <c:ser>
          <c:idx val="1"/>
          <c:order val="1"/>
          <c:tx>
            <c:strRef>
              <c:f>'Greater London'!$C$95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F64-476F-9285-783AACB7EF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F64-476F-9285-783AACB7EF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1F64-476F-9285-783AACB7EF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1F64-476F-9285-783AACB7EF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F64-476F-9285-783AACB7EF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1F64-476F-9285-783AACB7EFB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1F64-476F-9285-783AACB7EFB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'Greater London'!$A$96:$A$102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'Greater London'!$C$96:$C$102</c:f>
              <c:numCache>
                <c:formatCode>0%</c:formatCode>
                <c:ptCount val="7"/>
                <c:pt idx="0">
                  <c:v>0.04</c:v>
                </c:pt>
                <c:pt idx="1">
                  <c:v>8.3743842364532015E-2</c:v>
                </c:pt>
                <c:pt idx="2">
                  <c:v>9.852216748768473E-3</c:v>
                </c:pt>
                <c:pt idx="3">
                  <c:v>0.47783251231527096</c:v>
                </c:pt>
                <c:pt idx="4">
                  <c:v>0.1625615763546798</c:v>
                </c:pt>
                <c:pt idx="5">
                  <c:v>6.8965517241379309E-2</c:v>
                </c:pt>
                <c:pt idx="6">
                  <c:v>0.1625615763546798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11-4EA3-8CA2-454D8F989A2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Greater London - Immigration status, family households financially supported 31 March 2022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12778393351800554"/>
          <c:y val="3.03605313092979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'Greater London'!$G$116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128-47F0-9154-575816AD02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BC1-41B8-94EB-F625C7E32E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128-47F0-9154-575816AD027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128-47F0-9154-575816AD027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128-47F0-9154-575816AD027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128-47F0-9154-575816AD027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C1-41B8-94EB-F625C7E32E4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'Greater London'!$F$117:$F$122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'Greater London'!$G$117:$G$122</c:f>
              <c:numCache>
                <c:formatCode>General</c:formatCode>
                <c:ptCount val="6"/>
                <c:pt idx="0">
                  <c:v>103</c:v>
                </c:pt>
                <c:pt idx="1">
                  <c:v>3</c:v>
                </c:pt>
                <c:pt idx="2">
                  <c:v>167</c:v>
                </c:pt>
                <c:pt idx="3">
                  <c:v>81</c:v>
                </c:pt>
                <c:pt idx="4">
                  <c:v>125</c:v>
                </c:pt>
                <c:pt idx="5">
                  <c:v>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1-41B8-94EB-F625C7E32E45}"/>
            </c:ext>
          </c:extLst>
        </c:ser>
        <c:ser>
          <c:idx val="1"/>
          <c:order val="1"/>
          <c:tx>
            <c:strRef>
              <c:f>'Greater London'!$H$116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128-47F0-9154-575816AD02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128-47F0-9154-575816AD02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128-47F0-9154-575816AD027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A128-47F0-9154-575816AD027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A128-47F0-9154-575816AD027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A128-47F0-9154-575816AD027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'Greater London'!$F$117:$F$122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'Greater London'!$H$117:$H$122</c:f>
              <c:numCache>
                <c:formatCode>0%</c:formatCode>
                <c:ptCount val="6"/>
                <c:pt idx="0">
                  <c:v>0.10876451953537487</c:v>
                </c:pt>
                <c:pt idx="1">
                  <c:v>3.1678986272439284E-3</c:v>
                </c:pt>
                <c:pt idx="2">
                  <c:v>0.17634635691657866</c:v>
                </c:pt>
                <c:pt idx="3">
                  <c:v>8.5533262935586066E-2</c:v>
                </c:pt>
                <c:pt idx="4">
                  <c:v>0.13199577613516367</c:v>
                </c:pt>
                <c:pt idx="5">
                  <c:v>0.49419218585005281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C1-41B8-94EB-F625C7E32E4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Greater London - Immigration status, adult households financially supported 31 March 2022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'Greater London'!$G$153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52-434A-9381-E1700A29BF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84-4D86-A0DE-39B2D624EF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52-434A-9381-E1700A29BF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52-434A-9381-E1700A29BF8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52-434A-9381-E1700A29BF8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452-434A-9381-E1700A29BF8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4-4D86-A0DE-39B2D624EF6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'Greater London'!$F$154:$F$159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'Greater London'!$G$154:$G$159</c:f>
              <c:numCache>
                <c:formatCode>General</c:formatCode>
                <c:ptCount val="6"/>
                <c:pt idx="0">
                  <c:v>134</c:v>
                </c:pt>
                <c:pt idx="1">
                  <c:v>2</c:v>
                </c:pt>
                <c:pt idx="2">
                  <c:v>108</c:v>
                </c:pt>
                <c:pt idx="3">
                  <c:v>22</c:v>
                </c:pt>
                <c:pt idx="4">
                  <c:v>43</c:v>
                </c:pt>
                <c:pt idx="5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4-4D86-A0DE-39B2D624EF6C}"/>
            </c:ext>
          </c:extLst>
        </c:ser>
        <c:ser>
          <c:idx val="1"/>
          <c:order val="1"/>
          <c:tx>
            <c:strRef>
              <c:f>'Greater London'!$H$153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452-434A-9381-E1700A29BF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452-434A-9381-E1700A29BF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452-434A-9381-E1700A29BF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C452-434A-9381-E1700A29BF8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C452-434A-9381-E1700A29BF8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C452-434A-9381-E1700A29BF8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'Greater London'!$F$154:$F$159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'Greater London'!$H$154:$H$159</c:f>
              <c:numCache>
                <c:formatCode>0%</c:formatCode>
                <c:ptCount val="6"/>
                <c:pt idx="0">
                  <c:v>0.24275362318840579</c:v>
                </c:pt>
                <c:pt idx="1">
                  <c:v>3.6231884057971015E-3</c:v>
                </c:pt>
                <c:pt idx="2">
                  <c:v>0.19565217391304349</c:v>
                </c:pt>
                <c:pt idx="3">
                  <c:v>3.9855072463768113E-2</c:v>
                </c:pt>
                <c:pt idx="4">
                  <c:v>7.789855072463768E-2</c:v>
                </c:pt>
                <c:pt idx="5">
                  <c:v>0.44021739130434784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84-4D86-A0DE-39B2D624EF6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Greater London - Immigration status, looked after children and care leavers, open 31 March 2022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'Greater London'!$G$188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F6F-4F06-9E00-4869B3AC3F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A39-4777-93EB-0ACF2CC5C2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A39-4777-93EB-0ACF2CC5C2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A39-4777-93EB-0ACF2CC5C2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F6F-4F06-9E00-4869B3AC3F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F6F-4F06-9E00-4869B3AC3F55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39-4777-93EB-0ACF2CC5C2F3}"/>
                </c:ext>
              </c:extLst>
            </c:dLbl>
            <c:dLbl>
              <c:idx val="2"/>
              <c:layout>
                <c:manualLayout>
                  <c:x val="4.4405833199421497E-3"/>
                  <c:y val="5.252421033577699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39-4777-93EB-0ACF2CC5C2F3}"/>
                </c:ext>
              </c:extLst>
            </c:dLbl>
            <c:dLbl>
              <c:idx val="3"/>
              <c:layout>
                <c:manualLayout>
                  <c:x val="-1.3128716053350481E-2"/>
                  <c:y val="-3.769632244245331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39-4777-93EB-0ACF2CC5C2F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'Greater London'!$F$189:$F$194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'Greater London'!$G$189:$G$194</c:f>
              <c:numCache>
                <c:formatCode>General</c:formatCode>
                <c:ptCount val="6"/>
                <c:pt idx="0">
                  <c:v>916</c:v>
                </c:pt>
                <c:pt idx="1">
                  <c:v>7</c:v>
                </c:pt>
                <c:pt idx="2">
                  <c:v>54</c:v>
                </c:pt>
                <c:pt idx="3">
                  <c:v>16</c:v>
                </c:pt>
                <c:pt idx="4">
                  <c:v>350</c:v>
                </c:pt>
                <c:pt idx="5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9-4777-93EB-0ACF2CC5C2F3}"/>
            </c:ext>
          </c:extLst>
        </c:ser>
        <c:ser>
          <c:idx val="1"/>
          <c:order val="1"/>
          <c:tx>
            <c:strRef>
              <c:f>'Greater London'!$H$188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F6F-4F06-9E00-4869B3AC3F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F6F-4F06-9E00-4869B3AC3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F6F-4F06-9E00-4869B3AC3F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5F6F-4F06-9E00-4869B3AC3F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5F6F-4F06-9E00-4869B3AC3F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5F6F-4F06-9E00-4869B3AC3F5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'Greater London'!$F$189:$F$194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'Greater London'!$H$189:$H$194</c:f>
              <c:numCache>
                <c:formatCode>0%</c:formatCode>
                <c:ptCount val="6"/>
                <c:pt idx="0">
                  <c:v>0.63041982105987615</c:v>
                </c:pt>
                <c:pt idx="1">
                  <c:v>4.817618719889883E-3</c:v>
                </c:pt>
                <c:pt idx="2">
                  <c:v>3.7164487267721952E-2</c:v>
                </c:pt>
                <c:pt idx="3">
                  <c:v>1.1011699931176875E-2</c:v>
                </c:pt>
                <c:pt idx="4">
                  <c:v>0.24088093599449414</c:v>
                </c:pt>
                <c:pt idx="5">
                  <c:v>7.5705437026841016E-2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39-4777-93EB-0ACF2CC5C2F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Greater London - Immigration status, family households referred  2021-2022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'Greater London'!$G$228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D6E-4DB4-9C56-725561754E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82C-4EB1-B4D1-2745AD70E5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6E-4DB4-9C56-725561754E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6E-4DB4-9C56-725561754E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D6E-4DB4-9C56-725561754E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D6E-4DB4-9C56-725561754E3E}"/>
              </c:ext>
            </c:extLst>
          </c:dPt>
          <c:dLbls>
            <c:dLbl>
              <c:idx val="1"/>
              <c:layout>
                <c:manualLayout>
                  <c:x val="1.9358267716535434E-2"/>
                  <c:y val="-2.372295696047738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2C-4EB1-B4D1-2745AD70E58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'Greater London'!$F$229:$F$234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'Greater London'!$G$229:$G$234</c:f>
              <c:numCache>
                <c:formatCode>General</c:formatCode>
                <c:ptCount val="6"/>
                <c:pt idx="0">
                  <c:v>154</c:v>
                </c:pt>
                <c:pt idx="1">
                  <c:v>26</c:v>
                </c:pt>
                <c:pt idx="2">
                  <c:v>302</c:v>
                </c:pt>
                <c:pt idx="3">
                  <c:v>280</c:v>
                </c:pt>
                <c:pt idx="4">
                  <c:v>310</c:v>
                </c:pt>
                <c:pt idx="5">
                  <c:v>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C-4EB1-B4D1-2745AD70E584}"/>
            </c:ext>
          </c:extLst>
        </c:ser>
        <c:ser>
          <c:idx val="1"/>
          <c:order val="1"/>
          <c:tx>
            <c:strRef>
              <c:f>'Greater London'!$H$228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D6E-4DB4-9C56-725561754E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D6E-4DB4-9C56-725561754E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D6E-4DB4-9C56-725561754E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BD6E-4DB4-9C56-725561754E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BD6E-4DB4-9C56-725561754E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BD6E-4DB4-9C56-725561754E3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'Greater London'!$F$229:$F$234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'Greater London'!$H$229:$H$234</c:f>
              <c:numCache>
                <c:formatCode>0%</c:formatCode>
                <c:ptCount val="6"/>
                <c:pt idx="0">
                  <c:v>0.10232558139534884</c:v>
                </c:pt>
                <c:pt idx="1">
                  <c:v>1.7275747508305649E-2</c:v>
                </c:pt>
                <c:pt idx="2">
                  <c:v>0.20066445182724252</c:v>
                </c:pt>
                <c:pt idx="3">
                  <c:v>0.18604651162790697</c:v>
                </c:pt>
                <c:pt idx="4">
                  <c:v>0.2</c:v>
                </c:pt>
                <c:pt idx="5">
                  <c:v>0.28770764119601328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C-4EB1-B4D1-2745AD70E58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Closure reason family cases - all closures in the year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'All local authorities'!$B$75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9EB-4665-A934-FC4FD38EFF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B9EB-4665-A934-FC4FD38EFF5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9EB-4665-A934-FC4FD38EFF5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9EB-4665-A934-FC4FD38EFF5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B9EB-4665-A934-FC4FD38EFF5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9EB-4665-A934-FC4FD38EFF5E}"/>
              </c:ext>
            </c:extLst>
          </c:dPt>
          <c:dPt>
            <c:idx val="6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B9EB-4665-A934-FC4FD38EFF5E}"/>
              </c:ext>
            </c:extLst>
          </c:dPt>
          <c:dLbls>
            <c:dLbl>
              <c:idx val="0"/>
              <c:layout>
                <c:manualLayout>
                  <c:x val="-1.7049465664288669E-2"/>
                  <c:y val="0.1034508458719887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EB-4665-A934-FC4FD38EFF5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EB-4665-A934-FC4FD38EFF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EB-4665-A934-FC4FD38EFF5E}"/>
                </c:ext>
              </c:extLst>
            </c:dLbl>
            <c:dLbl>
              <c:idx val="3"/>
              <c:layout>
                <c:manualLayout>
                  <c:x val="-0.13288589777855783"/>
                  <c:y val="-0.182537771887424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EB-4665-A934-FC4FD38EFF5E}"/>
                </c:ext>
              </c:extLst>
            </c:dLbl>
            <c:dLbl>
              <c:idx val="4"/>
              <c:layout>
                <c:manualLayout>
                  <c:x val="9.9809438261596481E-2"/>
                  <c:y val="7.310828720667335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EB-4665-A934-FC4FD38EFF5E}"/>
                </c:ext>
              </c:extLst>
            </c:dLbl>
            <c:dLbl>
              <c:idx val="5"/>
              <c:layout>
                <c:manualLayout>
                  <c:x val="-1.8161837405346284E-2"/>
                  <c:y val="-3.562423013954942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EB-4665-A934-FC4FD38EFF5E}"/>
                </c:ext>
              </c:extLst>
            </c:dLbl>
            <c:dLbl>
              <c:idx val="6"/>
              <c:layout>
                <c:manualLayout>
                  <c:x val="5.5099517543262477E-2"/>
                  <c:y val="0.14176190847431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EB-4665-A934-FC4FD38EFF5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'All local authorities'!$A$76:$A$82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'All local authorities'!$B$76:$B$82</c:f>
              <c:numCache>
                <c:formatCode>General</c:formatCode>
                <c:ptCount val="7"/>
                <c:pt idx="0">
                  <c:v>51</c:v>
                </c:pt>
                <c:pt idx="1">
                  <c:v>1</c:v>
                </c:pt>
                <c:pt idx="2">
                  <c:v>2</c:v>
                </c:pt>
                <c:pt idx="3">
                  <c:v>856</c:v>
                </c:pt>
                <c:pt idx="4">
                  <c:v>146</c:v>
                </c:pt>
                <c:pt idx="5">
                  <c:v>23</c:v>
                </c:pt>
                <c:pt idx="6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B-4665-A934-FC4FD38EFF5E}"/>
            </c:ext>
          </c:extLst>
        </c:ser>
        <c:ser>
          <c:idx val="1"/>
          <c:order val="1"/>
          <c:tx>
            <c:strRef>
              <c:f>'All local authorities'!$C$75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8BA-43DD-80E4-A1BD53E76D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8BA-43DD-80E4-A1BD53E76D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B8BA-43DD-80E4-A1BD53E76D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B8BA-43DD-80E4-A1BD53E76DD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B8BA-43DD-80E4-A1BD53E76DD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B8BA-43DD-80E4-A1BD53E76DD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B8BA-43DD-80E4-A1BD53E76DD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'All local authorities'!$A$76:$A$82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'All local authorities'!$C$76:$C$82</c:f>
              <c:numCache>
                <c:formatCode>0%</c:formatCode>
                <c:ptCount val="7"/>
                <c:pt idx="0">
                  <c:v>4.2148760330578509E-2</c:v>
                </c:pt>
                <c:pt idx="1">
                  <c:v>8.2644628099173552E-4</c:v>
                </c:pt>
                <c:pt idx="2">
                  <c:v>1.652892561983471E-3</c:v>
                </c:pt>
                <c:pt idx="3">
                  <c:v>0.70743801652892557</c:v>
                </c:pt>
                <c:pt idx="4">
                  <c:v>0.12066115702479339</c:v>
                </c:pt>
                <c:pt idx="5">
                  <c:v>1.9008264462809916E-2</c:v>
                </c:pt>
                <c:pt idx="6">
                  <c:v>0.10826446280991736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EB-4665-A934-FC4FD38EFF5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917382337871912"/>
          <c:y val="0.17217525532080766"/>
          <c:w val="0.30661378113694315"/>
          <c:h val="0.7980254151399391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Greater London - Immigration status, adult households referred 2021-2022 </a:t>
            </a:r>
            <a:endParaRPr lang="en-GB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'Greater London'!$G$266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E56-41CF-AF7B-EE490B5497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712-40FD-B0DC-EEE95C319F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E56-41CF-AF7B-EE490B54974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712-40FD-B0DC-EEE95C319F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712-40FD-B0DC-EEE95C319F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E56-41CF-AF7B-EE490B54974C}"/>
              </c:ext>
            </c:extLst>
          </c:dPt>
          <c:dLbls>
            <c:dLbl>
              <c:idx val="1"/>
              <c:layout>
                <c:manualLayout>
                  <c:x val="3.5918426863308754E-3"/>
                  <c:y val="-1.867908146462750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12-40FD-B0DC-EEE95C319F61}"/>
                </c:ext>
              </c:extLst>
            </c:dLbl>
            <c:dLbl>
              <c:idx val="3"/>
              <c:layout>
                <c:manualLayout>
                  <c:x val="4.9411531891846855E-2"/>
                  <c:y val="-0.1165300440106583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12-40FD-B0DC-EEE95C319F61}"/>
                </c:ext>
              </c:extLst>
            </c:dLbl>
            <c:dLbl>
              <c:idx val="4"/>
              <c:layout>
                <c:manualLayout>
                  <c:x val="0.11094446527517392"/>
                  <c:y val="-9.926379449717073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12-40FD-B0DC-EEE95C319F6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'Greater London'!$F$267:$F$272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'Greater London'!$G$267:$G$272</c:f>
              <c:numCache>
                <c:formatCode>General</c:formatCode>
                <c:ptCount val="6"/>
                <c:pt idx="0">
                  <c:v>157</c:v>
                </c:pt>
                <c:pt idx="1">
                  <c:v>23</c:v>
                </c:pt>
                <c:pt idx="2">
                  <c:v>354</c:v>
                </c:pt>
                <c:pt idx="3">
                  <c:v>76</c:v>
                </c:pt>
                <c:pt idx="4">
                  <c:v>138</c:v>
                </c:pt>
                <c:pt idx="5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2-40FD-B0DC-EEE95C319F61}"/>
            </c:ext>
          </c:extLst>
        </c:ser>
        <c:ser>
          <c:idx val="1"/>
          <c:order val="1"/>
          <c:tx>
            <c:strRef>
              <c:f>'Greater London'!$H$266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E56-41CF-AF7B-EE490B5497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E56-41CF-AF7B-EE490B5497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E56-41CF-AF7B-EE490B54974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E56-41CF-AF7B-EE490B54974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E56-41CF-AF7B-EE490B54974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E56-41CF-AF7B-EE490B54974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'Greater London'!$F$267:$F$272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'Greater London'!$H$267:$H$272</c:f>
              <c:numCache>
                <c:formatCode>0%</c:formatCode>
                <c:ptCount val="6"/>
                <c:pt idx="0">
                  <c:v>0.15317073170731707</c:v>
                </c:pt>
                <c:pt idx="1">
                  <c:v>2.2439024390243902E-2</c:v>
                </c:pt>
                <c:pt idx="2">
                  <c:v>0.34536585365853656</c:v>
                </c:pt>
                <c:pt idx="3">
                  <c:v>7.4146341463414631E-2</c:v>
                </c:pt>
                <c:pt idx="4">
                  <c:v>0.13463414634146342</c:v>
                </c:pt>
                <c:pt idx="5">
                  <c:v>0.27024390243902441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12-40FD-B0DC-EEE95C319F6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North East - Number of family households supported, as at end of quarter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'North East'!$A$11</c:f>
              <c:strCache>
                <c:ptCount val="1"/>
                <c:pt idx="0">
                  <c:v>Number of financially supported households at end of quarter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 East'!$B$10:$E$10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'North East'!$B$11:$E$11</c:f>
              <c:numCache>
                <c:formatCode>General</c:formatCode>
                <c:ptCount val="4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D-4459-8E54-02D6098FB4C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84803343"/>
        <c:axId val="1184802095"/>
      </c:lineChart>
      <c:catAx>
        <c:axId val="1184803343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802095"/>
        <c:crosses val="autoZero"/>
        <c:auto val="1"/>
        <c:lblAlgn val="ctr"/>
        <c:lblOffset val="100"/>
        <c:noMultiLvlLbl val="0"/>
      </c:catAx>
      <c:valAx>
        <c:axId val="1184802095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8033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North East - Number of adult households supported, as at end of quarter 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17904947889471376"/>
          <c:y val="2.7777956326887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'North East'!$A$34</c:f>
              <c:strCache>
                <c:ptCount val="1"/>
                <c:pt idx="0">
                  <c:v>Number of financially supported households at end of quarter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 East'!$B$33:$E$33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'North East'!$B$34:$E$34</c:f>
              <c:numCache>
                <c:formatCode>General</c:formatCode>
                <c:ptCount val="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A-4C17-9613-AF1FD7EF24B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96531775"/>
        <c:axId val="2096536767"/>
      </c:lineChart>
      <c:catAx>
        <c:axId val="209653177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6536767"/>
        <c:crosses val="autoZero"/>
        <c:auto val="1"/>
        <c:lblAlgn val="ctr"/>
        <c:lblOffset val="100"/>
        <c:noMultiLvlLbl val="0"/>
      </c:catAx>
      <c:valAx>
        <c:axId val="2096536767"/>
        <c:scaling>
          <c:orientation val="minMax"/>
          <c:max val="12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653177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North East - Number of looked after children and care leavers open as at end of quarter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'North East'!$A$56</c:f>
              <c:strCache>
                <c:ptCount val="1"/>
                <c:pt idx="0">
                  <c:v>Number of open cases 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 East'!$B$55:$E$55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'North East'!$B$56:$E$56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9-4951-A445-A560BC7B8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1582319"/>
        <c:axId val="1951582735"/>
      </c:lineChart>
      <c:catAx>
        <c:axId val="195158231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582735"/>
        <c:crosses val="autoZero"/>
        <c:auto val="1"/>
        <c:lblAlgn val="ctr"/>
        <c:lblOffset val="100"/>
        <c:noMultiLvlLbl val="0"/>
      </c:catAx>
      <c:valAx>
        <c:axId val="195158273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582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North East - Closure reason family cases - all closures in the year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'North East'!$B$74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A925-4FFB-902C-4FC77D6EC8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925-4FFB-902C-4FC77D6EC8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A925-4FFB-902C-4FC77D6EC8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925-4FFB-902C-4FC77D6EC8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925-4FFB-902C-4FC77D6EC8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A925-4FFB-902C-4FC77D6EC8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925-4FFB-902C-4FC77D6EC82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25-4FFB-902C-4FC77D6EC82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25-4FFB-902C-4FC77D6EC82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25-4FFB-902C-4FC77D6EC82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25-4FFB-902C-4FC77D6EC82F}"/>
                </c:ext>
              </c:extLst>
            </c:dLbl>
            <c:dLbl>
              <c:idx val="4"/>
              <c:layout>
                <c:manualLayout>
                  <c:x val="-1.0669398032563003E-6"/>
                  <c:y val="-0.4008036268193748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25-4FFB-902C-4FC77D6EC82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25-4FFB-902C-4FC77D6EC82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25-4FFB-902C-4FC77D6EC82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East'!$A$75:$A$81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'North East'!$B$75:$B$81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5-4FFB-902C-4FC77D6EC82F}"/>
            </c:ext>
          </c:extLst>
        </c:ser>
        <c:ser>
          <c:idx val="1"/>
          <c:order val="1"/>
          <c:tx>
            <c:strRef>
              <c:f>'North East'!$C$74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262-4845-9E70-B30D84E586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262-4845-9E70-B30D84E586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262-4845-9E70-B30D84E586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262-4845-9E70-B30D84E5862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262-4845-9E70-B30D84E586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262-4845-9E70-B30D84E586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262-4845-9E70-B30D84E5862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East'!$A$75:$A$81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'North East'!$C$75:$C$81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25-4FFB-902C-4FC77D6EC82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North East - Immigration status, family households financially supported 31 March 2022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'North East'!$G$115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37FD-4A1B-96B3-DA0521C031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7FD-4A1B-96B3-DA0521C031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3A5-456D-A20B-C3B08B2D76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3A5-456D-A20B-C3B08B2D768F}"/>
              </c:ext>
            </c:extLst>
          </c:dPt>
          <c:dLbls>
            <c:dLbl>
              <c:idx val="0"/>
              <c:layout>
                <c:manualLayout>
                  <c:x val="-9.9267446450460137E-2"/>
                  <c:y val="0.1262627681094003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FD-4A1B-96B3-DA0521C031AF}"/>
                </c:ext>
              </c:extLst>
            </c:dLbl>
            <c:dLbl>
              <c:idx val="1"/>
              <c:layout>
                <c:manualLayout>
                  <c:x val="-9.6628924023019508E-2"/>
                  <c:y val="-9.65384422488590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FD-4A1B-96B3-DA0521C031A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East'!$F$116:$F$119</c:f>
              <c:strCache>
                <c:ptCount val="4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recourse</c:v>
                </c:pt>
                <c:pt idx="3">
                  <c:v>No current immigration permission</c:v>
                </c:pt>
              </c:strCache>
            </c:strRef>
          </c:cat>
          <c:val>
            <c:numRef>
              <c:f>'North East'!$G$116:$G$119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D-4A1B-96B3-DA0521C031AF}"/>
            </c:ext>
          </c:extLst>
        </c:ser>
        <c:ser>
          <c:idx val="1"/>
          <c:order val="1"/>
          <c:tx>
            <c:strRef>
              <c:f>'North East'!$H$115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3A5-456D-A20B-C3B08B2D76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3A5-456D-A20B-C3B08B2D76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3A5-456D-A20B-C3B08B2D76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3A5-456D-A20B-C3B08B2D768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East'!$F$116:$F$119</c:f>
              <c:strCache>
                <c:ptCount val="4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recourse</c:v>
                </c:pt>
                <c:pt idx="3">
                  <c:v>No current immigration permission</c:v>
                </c:pt>
              </c:strCache>
            </c:strRef>
          </c:cat>
          <c:val>
            <c:numRef>
              <c:f>'North East'!$H$116:$H$119</c:f>
              <c:numCache>
                <c:formatCode>0%</c:formatCode>
                <c:ptCount val="4"/>
                <c:pt idx="0">
                  <c:v>0.2857142857142857</c:v>
                </c:pt>
                <c:pt idx="1">
                  <c:v>0.14285714285714285</c:v>
                </c:pt>
                <c:pt idx="2">
                  <c:v>0.42857142857142855</c:v>
                </c:pt>
                <c:pt idx="3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FD-4A1B-96B3-DA0521C031A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North East - Immigration status, adult households financially supported 31 March 2022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987189425156058E-2"/>
          <c:y val="0.19250544662309368"/>
          <c:w val="0.45160621761658032"/>
          <c:h val="0.75956427015250549"/>
        </c:manualLayout>
      </c:layout>
      <c:pieChart>
        <c:varyColors val="1"/>
        <c:ser>
          <c:idx val="0"/>
          <c:order val="0"/>
          <c:tx>
            <c:strRef>
              <c:f>'North East'!$G$143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727-4BC2-B853-57EC1CA4787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727-4BC2-B853-57EC1CA4787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East'!$F$144:$F$145</c:f>
              <c:strCache>
                <c:ptCount val="2"/>
                <c:pt idx="0">
                  <c:v>Asylum seeker / asylum seeker ARE</c:v>
                </c:pt>
                <c:pt idx="1">
                  <c:v>EEA status / nationality </c:v>
                </c:pt>
              </c:strCache>
            </c:strRef>
          </c:cat>
          <c:val>
            <c:numRef>
              <c:f>'North East'!$G$144:$G$145</c:f>
              <c:numCache>
                <c:formatCode>General</c:formatCode>
                <c:ptCount val="2"/>
                <c:pt idx="0">
                  <c:v>7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3-496C-9BE1-435854DCDE4F}"/>
            </c:ext>
          </c:extLst>
        </c:ser>
        <c:ser>
          <c:idx val="1"/>
          <c:order val="1"/>
          <c:tx>
            <c:strRef>
              <c:f>'North East'!$H$143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727-4BC2-B853-57EC1CA4787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727-4BC2-B853-57EC1CA4787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East'!$F$144:$F$145</c:f>
              <c:strCache>
                <c:ptCount val="2"/>
                <c:pt idx="0">
                  <c:v>Asylum seeker / asylum seeker ARE</c:v>
                </c:pt>
                <c:pt idx="1">
                  <c:v>EEA status / nationality </c:v>
                </c:pt>
              </c:strCache>
            </c:strRef>
          </c:cat>
          <c:val>
            <c:numRef>
              <c:f>'North East'!$H$144:$H$145</c:f>
              <c:numCache>
                <c:formatCode>0%</c:formatCode>
                <c:ptCount val="2"/>
                <c:pt idx="0">
                  <c:v>0.87</c:v>
                </c:pt>
                <c:pt idx="1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3-496C-9BE1-435854DCDE4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139406796948307"/>
          <c:y val="0.3467963563378107"/>
          <c:w val="0.33306189057973973"/>
          <c:h val="0.3681937796991063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North East - Immigration status, looked after children and care leavers, open 31 March 2022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'North East'!$G$168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69-429D-9355-FDE867917F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69-429D-9355-FDE867917F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734-4633-AFF8-5EE08EBCF143}"/>
              </c:ext>
            </c:extLst>
          </c:dPt>
          <c:dLbls>
            <c:dLbl>
              <c:idx val="2"/>
              <c:layout>
                <c:manualLayout>
                  <c:x val="5.6728295326720524E-2"/>
                  <c:y val="0.1703892790938929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34-4633-AFF8-5EE08EBCF14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East'!$F$169:$F$171</c:f>
              <c:strCache>
                <c:ptCount val="3"/>
                <c:pt idx="0">
                  <c:v>Asylum seeker / asylum seeker ARE</c:v>
                </c:pt>
                <c:pt idx="1">
                  <c:v>Leave to Remain (LTR) with recourse</c:v>
                </c:pt>
                <c:pt idx="2">
                  <c:v>No current immigration permission</c:v>
                </c:pt>
              </c:strCache>
            </c:strRef>
          </c:cat>
          <c:val>
            <c:numRef>
              <c:f>'North East'!$G$169:$G$171</c:f>
              <c:numCache>
                <c:formatCode>General</c:formatCode>
                <c:ptCount val="3"/>
                <c:pt idx="0">
                  <c:v>6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4-4633-AFF8-5EE08EBCF143}"/>
            </c:ext>
          </c:extLst>
        </c:ser>
        <c:ser>
          <c:idx val="1"/>
          <c:order val="1"/>
          <c:tx>
            <c:strRef>
              <c:f>'North East'!$H$168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B69-429D-9355-FDE867917F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B69-429D-9355-FDE867917F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B69-429D-9355-FDE867917F3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East'!$F$169:$F$171</c:f>
              <c:strCache>
                <c:ptCount val="3"/>
                <c:pt idx="0">
                  <c:v>Asylum seeker / asylum seeker ARE</c:v>
                </c:pt>
                <c:pt idx="1">
                  <c:v>Leave to Remain (LTR) with recourse</c:v>
                </c:pt>
                <c:pt idx="2">
                  <c:v>No current immigration permission</c:v>
                </c:pt>
              </c:strCache>
            </c:strRef>
          </c:cat>
          <c:val>
            <c:numRef>
              <c:f>'North East'!$H$169:$H$171</c:f>
              <c:numCache>
                <c:formatCode>0%</c:formatCode>
                <c:ptCount val="3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34-4633-AFF8-5EE08EBCF14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04885980161571"/>
          <c:y val="0.31797894593629361"/>
          <c:w val="0.33392698639942736"/>
          <c:h val="0.4287287631162735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North East - Immigration status, family households referred  2021-2022</a:t>
            </a:r>
            <a:r>
              <a:rPr lang="en-US" sz="140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'North East'!$G$193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E26-43F9-9038-56ED39B7168F}"/>
              </c:ext>
            </c:extLst>
          </c:dPt>
          <c:dLbls>
            <c:dLbl>
              <c:idx val="0"/>
              <c:layout>
                <c:manualLayout>
                  <c:x val="-9.9671085422761502E-7"/>
                  <c:y val="-0.3828195792154682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26-43F9-9038-56ED39B7168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East'!$F$194</c:f>
              <c:strCache>
                <c:ptCount val="1"/>
                <c:pt idx="0">
                  <c:v>EEA status / nationality </c:v>
                </c:pt>
              </c:strCache>
            </c:strRef>
          </c:cat>
          <c:val>
            <c:numRef>
              <c:f>'North East'!$G$194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26-43F9-9038-56ED39B7168F}"/>
            </c:ext>
          </c:extLst>
        </c:ser>
        <c:ser>
          <c:idx val="1"/>
          <c:order val="1"/>
          <c:tx>
            <c:strRef>
              <c:f>'North East'!$H$193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935-474C-840D-CA217435C9E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East'!$F$194</c:f>
              <c:strCache>
                <c:ptCount val="1"/>
                <c:pt idx="0">
                  <c:v>EEA status / nationality </c:v>
                </c:pt>
              </c:strCache>
            </c:strRef>
          </c:cat>
          <c:val>
            <c:numRef>
              <c:f>'North East'!$H$194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26-43F9-9038-56ED39B7168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North East - Immigration status, adult households referred 2021-2022 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205357496142132E-2"/>
          <c:y val="0.25029354207436399"/>
          <c:w val="0.46369346733668343"/>
          <c:h val="0.72230919765166346"/>
        </c:manualLayout>
      </c:layout>
      <c:pieChart>
        <c:varyColors val="1"/>
        <c:ser>
          <c:idx val="0"/>
          <c:order val="0"/>
          <c:tx>
            <c:strRef>
              <c:f>'North East'!$G$215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696-45DE-8D5D-5924B25A54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696-45DE-8D5D-5924B25A54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696-45DE-8D5D-5924B25A54C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696-45DE-8D5D-5924B25A54C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696-45DE-8D5D-5924B25A54C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East'!$F$216:$F$220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'North East'!$G$216:$G$220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53-49A1-BAC4-2FA7B62C777E}"/>
            </c:ext>
          </c:extLst>
        </c:ser>
        <c:ser>
          <c:idx val="1"/>
          <c:order val="1"/>
          <c:tx>
            <c:strRef>
              <c:f>'North East'!$H$215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696-45DE-8D5D-5924B25A54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696-45DE-8D5D-5924B25A54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696-45DE-8D5D-5924B25A54C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696-45DE-8D5D-5924B25A54C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C696-45DE-8D5D-5924B25A54C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East'!$F$216:$F$220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'North East'!$H$216:$H$220</c:f>
              <c:numCache>
                <c:formatCode>0%</c:formatCode>
                <c:ptCount val="5"/>
                <c:pt idx="0">
                  <c:v>0.25</c:v>
                </c:pt>
                <c:pt idx="1">
                  <c:v>0.25</c:v>
                </c:pt>
                <c:pt idx="2">
                  <c:v>8.3333333333333329E-2</c:v>
                </c:pt>
                <c:pt idx="3">
                  <c:v>0.16666666666666666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53-49A1-BAC4-2FA7B62C777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105317439854028"/>
          <c:y val="0.27593301357080885"/>
          <c:w val="0.32383347547551516"/>
          <c:h val="0.630982042005664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Closure reason adult cases - all closures in the year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'All local authorities'!$B$97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C29-4A4E-BFE9-0C610961DB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BC29-4A4E-BFE9-0C610961DB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C29-4A4E-BFE9-0C610961DB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EEC-4058-842D-C12BE35A84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C29-4A4E-BFE9-0C610961DB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BC29-4A4E-BFE9-0C610961DBC2}"/>
              </c:ext>
            </c:extLst>
          </c:dPt>
          <c:dPt>
            <c:idx val="6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BC29-4A4E-BFE9-0C610961DBC2}"/>
              </c:ext>
            </c:extLst>
          </c:dPt>
          <c:dLbls>
            <c:dLbl>
              <c:idx val="0"/>
              <c:layout>
                <c:manualLayout>
                  <c:x val="-1.3757966203634092E-2"/>
                  <c:y val="0.112337570087808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29-4A4E-BFE9-0C610961DBC2}"/>
                </c:ext>
              </c:extLst>
            </c:dLbl>
            <c:dLbl>
              <c:idx val="1"/>
              <c:layout>
                <c:manualLayout>
                  <c:x val="-4.3539936326336293E-2"/>
                  <c:y val="0.1207233212930916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29-4A4E-BFE9-0C610961DBC2}"/>
                </c:ext>
              </c:extLst>
            </c:dLbl>
            <c:dLbl>
              <c:idx val="2"/>
              <c:layout>
                <c:manualLayout>
                  <c:x val="2.3282712036919232E-2"/>
                  <c:y val="-7.512808499705326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29-4A4E-BFE9-0C610961DBC2}"/>
                </c:ext>
              </c:extLst>
            </c:dLbl>
            <c:dLbl>
              <c:idx val="4"/>
              <c:layout>
                <c:manualLayout>
                  <c:x val="0.10141670730374158"/>
                  <c:y val="-0.1367210240754454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29-4A4E-BFE9-0C610961DBC2}"/>
                </c:ext>
              </c:extLst>
            </c:dLbl>
            <c:dLbl>
              <c:idx val="5"/>
              <c:layout>
                <c:manualLayout>
                  <c:x val="9.8198512142059505E-2"/>
                  <c:y val="-8.047516133419911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29-4A4E-BFE9-0C610961DBC2}"/>
                </c:ext>
              </c:extLst>
            </c:dLbl>
            <c:dLbl>
              <c:idx val="6"/>
              <c:layout>
                <c:manualLayout>
                  <c:x val="9.8863753806111343E-2"/>
                  <c:y val="0.1400764731663819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29-4A4E-BFE9-0C610961DBC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'All local authorities'!$A$98:$A$104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'All local authorities'!$B$98:$B$104</c:f>
              <c:numCache>
                <c:formatCode>General</c:formatCode>
                <c:ptCount val="7"/>
                <c:pt idx="0">
                  <c:v>13</c:v>
                </c:pt>
                <c:pt idx="1">
                  <c:v>23</c:v>
                </c:pt>
                <c:pt idx="2">
                  <c:v>2</c:v>
                </c:pt>
                <c:pt idx="3">
                  <c:v>156</c:v>
                </c:pt>
                <c:pt idx="4">
                  <c:v>57</c:v>
                </c:pt>
                <c:pt idx="5">
                  <c:v>25</c:v>
                </c:pt>
                <c:pt idx="6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9-4A4E-BFE9-0C610961DBC2}"/>
            </c:ext>
          </c:extLst>
        </c:ser>
        <c:ser>
          <c:idx val="1"/>
          <c:order val="1"/>
          <c:tx>
            <c:strRef>
              <c:f>'All local authorities'!$C$97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EEC-4058-842D-C12BE35A84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EEC-4058-842D-C12BE35A84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EEEC-4058-842D-C12BE35A84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EEEC-4058-842D-C12BE35A84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EEEC-4058-842D-C12BE35A84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EEEC-4058-842D-C12BE35A84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EEEC-4058-842D-C12BE35A849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'All local authorities'!$A$98:$A$104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'All local authorities'!$C$98:$C$104</c:f>
              <c:numCache>
                <c:formatCode>0%</c:formatCode>
                <c:ptCount val="7"/>
                <c:pt idx="0">
                  <c:v>0.04</c:v>
                </c:pt>
                <c:pt idx="1">
                  <c:v>0.06</c:v>
                </c:pt>
                <c:pt idx="2">
                  <c:v>0.01</c:v>
                </c:pt>
                <c:pt idx="3">
                  <c:v>0.44</c:v>
                </c:pt>
                <c:pt idx="4">
                  <c:v>0.16</c:v>
                </c:pt>
                <c:pt idx="5">
                  <c:v>7.0000000000000007E-2</c:v>
                </c:pt>
                <c:pt idx="6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29-4A4E-BFE9-0C610961DBC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911044168240853"/>
          <c:y val="0.10983360285338613"/>
          <c:w val="0.30667435506443663"/>
          <c:h val="0.8224631613946529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North West - Number of family households supported, as at end of quarter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'North West'!$A$11</c:f>
              <c:strCache>
                <c:ptCount val="1"/>
                <c:pt idx="0">
                  <c:v>Number of financially supported households at end of quarter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 West'!$B$10:$E$10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'North West'!$B$11:$E$11</c:f>
              <c:numCache>
                <c:formatCode>General</c:formatCode>
                <c:ptCount val="4"/>
                <c:pt idx="0">
                  <c:v>36</c:v>
                </c:pt>
                <c:pt idx="1">
                  <c:v>40</c:v>
                </c:pt>
                <c:pt idx="2">
                  <c:v>30</c:v>
                </c:pt>
                <c:pt idx="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F-4908-A89E-038C3B8F5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2253903"/>
        <c:axId val="1962249743"/>
      </c:lineChart>
      <c:catAx>
        <c:axId val="1962253903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2249743"/>
        <c:crosses val="autoZero"/>
        <c:auto val="1"/>
        <c:lblAlgn val="ctr"/>
        <c:lblOffset val="100"/>
        <c:noMultiLvlLbl val="0"/>
      </c:catAx>
      <c:valAx>
        <c:axId val="196224974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2253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North West - Number of adult households supported, as at end of quarter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'North West'!$A$34</c:f>
              <c:strCache>
                <c:ptCount val="1"/>
                <c:pt idx="0">
                  <c:v>Number of financially supported households at end of quarter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 West'!$B$33:$E$33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'North West'!$B$34:$E$34</c:f>
              <c:numCache>
                <c:formatCode>General</c:formatCode>
                <c:ptCount val="4"/>
                <c:pt idx="0">
                  <c:v>21</c:v>
                </c:pt>
                <c:pt idx="1">
                  <c:v>18</c:v>
                </c:pt>
                <c:pt idx="2">
                  <c:v>17</c:v>
                </c:pt>
                <c:pt idx="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1-4199-BBEF-31908AFABE5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59200735"/>
        <c:axId val="1811778863"/>
      </c:lineChart>
      <c:catAx>
        <c:axId val="195920073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1778863"/>
        <c:crosses val="autoZero"/>
        <c:auto val="1"/>
        <c:lblAlgn val="ctr"/>
        <c:lblOffset val="100"/>
        <c:noMultiLvlLbl val="0"/>
      </c:catAx>
      <c:valAx>
        <c:axId val="181177886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9200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North West - Number of looked after children and care leavers open as at end of quarter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'North West'!$A$56</c:f>
              <c:strCache>
                <c:ptCount val="1"/>
                <c:pt idx="0">
                  <c:v>Number of open cases 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 West'!$B$55:$E$55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'North West'!$B$56:$E$56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A-404D-B7E5-C4BB4A245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9396063"/>
        <c:axId val="1959397727"/>
      </c:lineChart>
      <c:catAx>
        <c:axId val="1959396063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9397727"/>
        <c:crosses val="autoZero"/>
        <c:auto val="1"/>
        <c:lblAlgn val="ctr"/>
        <c:lblOffset val="100"/>
        <c:noMultiLvlLbl val="0"/>
      </c:catAx>
      <c:valAx>
        <c:axId val="1959397727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9396063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North West - Closure reason family cases - all closures in the year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21788703577407154"/>
          <c:y val="2.886597938144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550912435158198E-2"/>
          <c:y val="0.23167010309278349"/>
          <c:w val="0.46015748031496062"/>
          <c:h val="0.72296907216494843"/>
        </c:manualLayout>
      </c:layout>
      <c:pieChart>
        <c:varyColors val="1"/>
        <c:ser>
          <c:idx val="0"/>
          <c:order val="0"/>
          <c:tx>
            <c:strRef>
              <c:f>'North West'!$B$73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CE5-4435-8633-7668C3C8D63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CE5-4435-8633-7668C3C8D63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CE5-4435-8633-7668C3C8D63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AA2-4A34-8047-63359E1EAB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CE5-4435-8633-7668C3C8D63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CE5-4435-8633-7668C3C8D63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CE5-4435-8633-7668C3C8D639}"/>
              </c:ext>
            </c:extLst>
          </c:dPt>
          <c:dLbls>
            <c:dLbl>
              <c:idx val="0"/>
              <c:layout>
                <c:manualLayout>
                  <c:x val="2.1804203608407218E-2"/>
                  <c:y val="-1.06216413669940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E5-4435-8633-7668C3C8D63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E5-4435-8633-7668C3C8D63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E5-4435-8633-7668C3C8D639}"/>
                </c:ext>
              </c:extLst>
            </c:dLbl>
            <c:dLbl>
              <c:idx val="4"/>
              <c:layout>
                <c:manualLayout>
                  <c:x val="-0.14417777502221671"/>
                  <c:y val="5.475444435424953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E5-4435-8633-7668C3C8D63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E5-4435-8633-7668C3C8D639}"/>
                </c:ext>
              </c:extLst>
            </c:dLbl>
            <c:dLbl>
              <c:idx val="6"/>
              <c:layout>
                <c:manualLayout>
                  <c:x val="-6.7393928121189606E-2"/>
                  <c:y val="-3.102329734556376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E5-4435-8633-7668C3C8D63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West'!$A$74:$A$80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'North West'!$B$74:$B$80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53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5-4435-8633-7668C3C8D639}"/>
            </c:ext>
          </c:extLst>
        </c:ser>
        <c:ser>
          <c:idx val="1"/>
          <c:order val="1"/>
          <c:tx>
            <c:strRef>
              <c:f>'North West'!$C$73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AA2-4A34-8047-63359E1EAB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AA2-4A34-8047-63359E1EAB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FAA2-4A34-8047-63359E1EAB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FAA2-4A34-8047-63359E1EAB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FAA2-4A34-8047-63359E1EABA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FAA2-4A34-8047-63359E1EABA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FAA2-4A34-8047-63359E1EABA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West'!$A$74:$A$80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'North West'!$C$74:$C$80</c:f>
              <c:numCache>
                <c:formatCode>0%</c:formatCode>
                <c:ptCount val="7"/>
                <c:pt idx="0">
                  <c:v>3.5087719298245612E-2</c:v>
                </c:pt>
                <c:pt idx="1">
                  <c:v>0</c:v>
                </c:pt>
                <c:pt idx="2">
                  <c:v>0</c:v>
                </c:pt>
                <c:pt idx="3">
                  <c:v>0.92982456140350878</c:v>
                </c:pt>
                <c:pt idx="4">
                  <c:v>1.7543859649122806E-2</c:v>
                </c:pt>
                <c:pt idx="5">
                  <c:v>0</c:v>
                </c:pt>
                <c:pt idx="6">
                  <c:v>1.7543859649122806E-2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5-4435-8633-7668C3C8D63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North West - Closure reason adult cases - all closures in the year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'North West'!$B$94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34C-438A-B79F-420EC1C1F3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34C-438A-B79F-420EC1C1F3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34C-438A-B79F-420EC1C1F3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3A2-4881-8718-91132100F2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3A2-4881-8718-91132100F2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834C-438A-B79F-420EC1C1F34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34C-438A-B79F-420EC1C1F348}"/>
              </c:ext>
            </c:extLst>
          </c:dPt>
          <c:dLbls>
            <c:dLbl>
              <c:idx val="0"/>
              <c:layout>
                <c:manualLayout>
                  <c:x val="-5.0735528137722939E-2"/>
                  <c:y val="0.1337004653559409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4C-438A-B79F-420EC1C1F348}"/>
                </c:ext>
              </c:extLst>
            </c:dLbl>
            <c:dLbl>
              <c:idx val="1"/>
              <c:layout>
                <c:manualLayout>
                  <c:x val="-5.3457540248413829E-2"/>
                  <c:y val="9.17720561003493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4C-438A-B79F-420EC1C1F34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4C-438A-B79F-420EC1C1F348}"/>
                </c:ext>
              </c:extLst>
            </c:dLbl>
            <c:dLbl>
              <c:idx val="5"/>
              <c:layout>
                <c:manualLayout>
                  <c:x val="7.9199371732076779E-2"/>
                  <c:y val="2.102346102442716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4C-438A-B79F-420EC1C1F348}"/>
                </c:ext>
              </c:extLst>
            </c:dLbl>
            <c:dLbl>
              <c:idx val="6"/>
              <c:layout>
                <c:manualLayout>
                  <c:x val="9.4362948725897428E-2"/>
                  <c:y val="0.1694816675522921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4C-438A-B79F-420EC1C1F348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West'!$A$95:$A$101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'North West'!$B$95:$B$101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11</c:v>
                </c:pt>
                <c:pt idx="4">
                  <c:v>5</c:v>
                </c:pt>
                <c:pt idx="5">
                  <c:v>1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C-438A-B79F-420EC1C1F348}"/>
            </c:ext>
          </c:extLst>
        </c:ser>
        <c:ser>
          <c:idx val="1"/>
          <c:order val="1"/>
          <c:tx>
            <c:strRef>
              <c:f>'North West'!$C$94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3A2-4881-8718-91132100F2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3A2-4881-8718-91132100F2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83A2-4881-8718-91132100F2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83A2-4881-8718-91132100F2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83A2-4881-8718-91132100F2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83A2-4881-8718-91132100F2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83A2-4881-8718-91132100F27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West'!$A$95:$A$101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'North West'!$C$95:$C$101</c:f>
              <c:numCache>
                <c:formatCode>0%</c:formatCode>
                <c:ptCount val="7"/>
                <c:pt idx="0">
                  <c:v>0.08</c:v>
                </c:pt>
                <c:pt idx="1">
                  <c:v>0.04</c:v>
                </c:pt>
                <c:pt idx="2">
                  <c:v>0</c:v>
                </c:pt>
                <c:pt idx="3">
                  <c:v>0.44</c:v>
                </c:pt>
                <c:pt idx="4">
                  <c:v>0.2</c:v>
                </c:pt>
                <c:pt idx="5">
                  <c:v>0.04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4C-438A-B79F-420EC1C1F34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North West - Immigration status, family households financially supported 31 March 2022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'North West'!$G$116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AD-4051-A732-2E2B2C95F9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AD-4051-A732-2E2B2C95F9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8AD-4051-A732-2E2B2C95F9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5EC-49F4-ABDB-7F98BAD602C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5EC-49F4-ABDB-7F98BAD602C6}"/>
              </c:ext>
            </c:extLst>
          </c:dPt>
          <c:dLbls>
            <c:dLbl>
              <c:idx val="0"/>
              <c:layout>
                <c:manualLayout>
                  <c:x val="-7.6899530781158743E-2"/>
                  <c:y val="0.1547985087325773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AD-4051-A732-2E2B2C95F9D4}"/>
                </c:ext>
              </c:extLst>
            </c:dLbl>
            <c:dLbl>
              <c:idx val="1"/>
              <c:layout>
                <c:manualLayout>
                  <c:x val="-8.0666169925690326E-2"/>
                  <c:y val="4.849434586884891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AD-4051-A732-2E2B2C95F9D4}"/>
                </c:ext>
              </c:extLst>
            </c:dLbl>
            <c:dLbl>
              <c:idx val="2"/>
              <c:layout>
                <c:manualLayout>
                  <c:x val="-0.11761000463177407"/>
                  <c:y val="-2.703154247173006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AD-4051-A732-2E2B2C95F9D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West'!$F$117:$F$121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'North West'!$G$117:$G$121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AD-4051-A732-2E2B2C95F9D4}"/>
            </c:ext>
          </c:extLst>
        </c:ser>
        <c:ser>
          <c:idx val="1"/>
          <c:order val="1"/>
          <c:tx>
            <c:strRef>
              <c:f>'North West'!$H$116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5EC-49F4-ABDB-7F98BAD602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5EC-49F4-ABDB-7F98BAD602C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5EC-49F4-ABDB-7F98BAD602C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5EC-49F4-ABDB-7F98BAD602C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65EC-49F4-ABDB-7F98BAD602C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West'!$F$117:$F$121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'North West'!$H$117:$H$121</c:f>
              <c:numCache>
                <c:formatCode>0%</c:formatCode>
                <c:ptCount val="5"/>
                <c:pt idx="0">
                  <c:v>0.16</c:v>
                </c:pt>
                <c:pt idx="1">
                  <c:v>0.04</c:v>
                </c:pt>
                <c:pt idx="2">
                  <c:v>0.12</c:v>
                </c:pt>
                <c:pt idx="3">
                  <c:v>0.12</c:v>
                </c:pt>
                <c:pt idx="4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AD-4051-A732-2E2B2C95F9D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585194433815974"/>
          <c:y val="0.31223736522129231"/>
          <c:w val="0.32880278711964073"/>
          <c:h val="0.6159181968658632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North West - Immigration status, adult households financially supported 31 March 2022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'North West'!$G$145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F1E-4F9A-83BA-2CFCD015CA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BCC-4772-BCE0-9EB9A453DD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9BCC-4772-BCE0-9EB9A453DD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9BCC-4772-BCE0-9EB9A453DDA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BCC-4772-BCE0-9EB9A453DDA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F1E-4F9A-83BA-2CFCD015CAB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CC-4772-BCE0-9EB9A453DDA7}"/>
                </c:ext>
              </c:extLst>
            </c:dLbl>
            <c:dLbl>
              <c:idx val="2"/>
              <c:layout>
                <c:manualLayout>
                  <c:x val="-9.8531645569620352E-2"/>
                  <c:y val="-0.1011688154365318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CC-4772-BCE0-9EB9A453DDA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CC-4772-BCE0-9EB9A453DDA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CC-4772-BCE0-9EB9A453DDA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West'!$F$146:$F$151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'North West'!$G$146:$G$151</c:f>
              <c:numCache>
                <c:formatCode>General</c:formatCode>
                <c:ptCount val="6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C-4772-BCE0-9EB9A453DDA7}"/>
            </c:ext>
          </c:extLst>
        </c:ser>
        <c:ser>
          <c:idx val="1"/>
          <c:order val="1"/>
          <c:tx>
            <c:strRef>
              <c:f>'North West'!$H$145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F1E-4F9A-83BA-2CFCD015CA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1E-4F9A-83BA-2CFCD015CA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F1E-4F9A-83BA-2CFCD015CA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F1E-4F9A-83BA-2CFCD015CAB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3F1E-4F9A-83BA-2CFCD015CAB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3F1E-4F9A-83BA-2CFCD015CAB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West'!$F$146:$F$151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'North West'!$H$146:$H$151</c:f>
              <c:numCache>
                <c:formatCode>0%</c:formatCode>
                <c:ptCount val="6"/>
                <c:pt idx="0">
                  <c:v>0.30769230769230771</c:v>
                </c:pt>
                <c:pt idx="1">
                  <c:v>0</c:v>
                </c:pt>
                <c:pt idx="2">
                  <c:v>7.6923076923076927E-2</c:v>
                </c:pt>
                <c:pt idx="3">
                  <c:v>0</c:v>
                </c:pt>
                <c:pt idx="4">
                  <c:v>0</c:v>
                </c:pt>
                <c:pt idx="5">
                  <c:v>0.61538461538461542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CC-4772-BCE0-9EB9A453DDA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North West - Immigration status, looked after children and care leavers, open 31 March 2022 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'North West'!$G$174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2D-473C-B7AF-6D09F6FD5E0C}"/>
              </c:ext>
            </c:extLst>
          </c:dPt>
          <c:dLbls>
            <c:dLbl>
              <c:idx val="0"/>
              <c:layout>
                <c:manualLayout>
                  <c:x val="-2.526246719160105E-3"/>
                  <c:y val="-0.3664530475357247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2D-473C-B7AF-6D09F6FD5E0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West'!$F$175</c:f>
              <c:strCache>
                <c:ptCount val="1"/>
                <c:pt idx="0">
                  <c:v>Asylum seeker / asylum seeker ARE</c:v>
                </c:pt>
              </c:strCache>
            </c:strRef>
          </c:cat>
          <c:val>
            <c:numRef>
              <c:f>'North West'!$G$175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D-473C-B7AF-6D09F6FD5E0C}"/>
            </c:ext>
          </c:extLst>
        </c:ser>
        <c:ser>
          <c:idx val="1"/>
          <c:order val="1"/>
          <c:tx>
            <c:strRef>
              <c:f>'North West'!$H$174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BE-4477-A5B6-BC3DE6C7FC97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West'!$F$175</c:f>
              <c:strCache>
                <c:ptCount val="1"/>
                <c:pt idx="0">
                  <c:v>Asylum seeker / asylum seeker ARE</c:v>
                </c:pt>
              </c:strCache>
            </c:strRef>
          </c:cat>
          <c:val>
            <c:numRef>
              <c:f>'North West'!$H$175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2D-473C-B7AF-6D09F6FD5E0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019724807126379"/>
          <c:y val="0.44727945465150187"/>
          <c:w val="0.32465123677722102"/>
          <c:h val="0.1886585010207057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North West - Immigration status, family households referred  2021-2022 </a:t>
            </a:r>
            <a:r>
              <a:rPr lang="en-US" sz="140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'North West'!$G$196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BFE-4C7B-99A6-49918F1A9C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BFE-4C7B-99A6-49918F1A9C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FF2-49FE-BF44-EBB43D26D2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FF2-49FE-BF44-EBB43D26D2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FF2-49FE-BF44-EBB43D26D2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FF2-49FE-BF44-EBB43D26D2E0}"/>
              </c:ext>
            </c:extLst>
          </c:dPt>
          <c:dLbls>
            <c:dLbl>
              <c:idx val="0"/>
              <c:layout>
                <c:manualLayout>
                  <c:x val="-2.0574270321472975E-2"/>
                  <c:y val="0.1107303943694935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FE-4C7B-99A6-49918F1A9CC7}"/>
                </c:ext>
              </c:extLst>
            </c:dLbl>
            <c:dLbl>
              <c:idx val="1"/>
              <c:layout>
                <c:manualLayout>
                  <c:x val="5.8645629822587877E-2"/>
                  <c:y val="5.576642091713054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FE-4C7B-99A6-49918F1A9CC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West'!$F$197:$F$202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'North West'!$G$197:$G$202</c:f>
              <c:numCache>
                <c:formatCode>General</c:formatCode>
                <c:ptCount val="6"/>
                <c:pt idx="0">
                  <c:v>6</c:v>
                </c:pt>
                <c:pt idx="1">
                  <c:v>1</c:v>
                </c:pt>
                <c:pt idx="2">
                  <c:v>18</c:v>
                </c:pt>
                <c:pt idx="3">
                  <c:v>33</c:v>
                </c:pt>
                <c:pt idx="4">
                  <c:v>25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E-4C7B-99A6-49918F1A9CC7}"/>
            </c:ext>
          </c:extLst>
        </c:ser>
        <c:ser>
          <c:idx val="1"/>
          <c:order val="1"/>
          <c:tx>
            <c:strRef>
              <c:f>'North West'!$H$196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FF2-49FE-BF44-EBB43D26D2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FF2-49FE-BF44-EBB43D26D2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FF2-49FE-BF44-EBB43D26D2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FF2-49FE-BF44-EBB43D26D2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FF2-49FE-BF44-EBB43D26D2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FF2-49FE-BF44-EBB43D26D2E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West'!$F$197:$F$202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'North West'!$H$197:$H$202</c:f>
              <c:numCache>
                <c:formatCode>0%</c:formatCode>
                <c:ptCount val="6"/>
                <c:pt idx="0">
                  <c:v>5.7692307692307696E-2</c:v>
                </c:pt>
                <c:pt idx="1">
                  <c:v>9.6153846153846159E-3</c:v>
                </c:pt>
                <c:pt idx="2">
                  <c:v>0.17307692307692307</c:v>
                </c:pt>
                <c:pt idx="3">
                  <c:v>0.31730769230769229</c:v>
                </c:pt>
                <c:pt idx="4">
                  <c:v>0.24038461538461539</c:v>
                </c:pt>
                <c:pt idx="5">
                  <c:v>0.20192307692307693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FE-4C7B-99A6-49918F1A9CC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North West - Immigration status, adult households referred 2021-2022 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'North West'!$G$225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D6-4DEE-9FE3-BBE0A4417D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D6-4DEE-9FE3-BBE0A4417D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D6-4DEE-9FE3-BBE0A4417D7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D6-4DEE-9FE3-BBE0A4417D7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1D6-4DEE-9FE3-BBE0A4417D7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West'!$F$226:$F$230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'North West'!$G$226:$G$230</c:f>
              <c:numCache>
                <c:formatCode>General</c:formatCode>
                <c:ptCount val="5"/>
                <c:pt idx="0">
                  <c:v>14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1-40DD-9C15-16E9DFA22311}"/>
            </c:ext>
          </c:extLst>
        </c:ser>
        <c:ser>
          <c:idx val="1"/>
          <c:order val="1"/>
          <c:tx>
            <c:strRef>
              <c:f>'North West'!$H$225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1D6-4DEE-9FE3-BBE0A4417D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1D6-4DEE-9FE3-BBE0A4417D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1D6-4DEE-9FE3-BBE0A4417D7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1D6-4DEE-9FE3-BBE0A4417D7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F1D6-4DEE-9FE3-BBE0A4417D7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'North West'!$F$226:$F$230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'North West'!$H$226:$H$230</c:f>
              <c:numCache>
                <c:formatCode>0%</c:formatCode>
                <c:ptCount val="5"/>
                <c:pt idx="0">
                  <c:v>0.15555555555555556</c:v>
                </c:pt>
                <c:pt idx="1">
                  <c:v>0.13333333333333333</c:v>
                </c:pt>
                <c:pt idx="2">
                  <c:v>0.15555555555555556</c:v>
                </c:pt>
                <c:pt idx="3">
                  <c:v>0.17777777777777778</c:v>
                </c:pt>
                <c:pt idx="4">
                  <c:v>0.37777777777777777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01-40DD-9C15-16E9DFA2231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105317439854028"/>
          <c:y val="0.27405404513115106"/>
          <c:w val="0.32383347547551516"/>
          <c:h val="0.6278875517918751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Immigration status, family households financially supported 31 March 2022, all local authorities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17539606965097343"/>
          <c:y val="1.46074226410450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'All local authorities'!$G$119</c:f>
              <c:strCache>
                <c:ptCount val="1"/>
                <c:pt idx="0">
                  <c:v>Number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8E-4880-8E80-F845B00F69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58E-4880-8E80-F845B00F69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D11-4A26-9889-B954E4BC65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D11-4A26-9889-B954E4BC65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D11-4A26-9889-B954E4BC65F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D11-4A26-9889-B954E4BC65F9}"/>
              </c:ext>
            </c:extLst>
          </c:dPt>
          <c:dLbls>
            <c:dLbl>
              <c:idx val="0"/>
              <c:layout>
                <c:manualLayout>
                  <c:x val="-7.1172834210855962E-2"/>
                  <c:y val="0.1783603685671268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8E-4880-8E80-F845B00F6994}"/>
                </c:ext>
              </c:extLst>
            </c:dLbl>
            <c:dLbl>
              <c:idx val="1"/>
              <c:layout>
                <c:manualLayout>
                  <c:x val="1.7935344606349532E-2"/>
                  <c:y val="-2.008808160833507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8E-4880-8E80-F845B00F699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'All local authorities'!$F$120:$F$125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'All local authorities'!$G$120:$G$125</c:f>
              <c:numCache>
                <c:formatCode>General</c:formatCode>
                <c:ptCount val="6"/>
                <c:pt idx="0">
                  <c:v>215</c:v>
                </c:pt>
                <c:pt idx="1">
                  <c:v>10</c:v>
                </c:pt>
                <c:pt idx="2" formatCode="0">
                  <c:v>320</c:v>
                </c:pt>
                <c:pt idx="3">
                  <c:v>143</c:v>
                </c:pt>
                <c:pt idx="4">
                  <c:v>240</c:v>
                </c:pt>
                <c:pt idx="5">
                  <c:v>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E-4880-8E80-F845B00F6994}"/>
            </c:ext>
          </c:extLst>
        </c:ser>
        <c:ser>
          <c:idx val="1"/>
          <c:order val="1"/>
          <c:tx>
            <c:strRef>
              <c:f>'All local authorities'!$H$119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D11-4A26-9889-B954E4BC65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D11-4A26-9889-B954E4BC65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D11-4A26-9889-B954E4BC65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9D11-4A26-9889-B954E4BC65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9D11-4A26-9889-B954E4BC65F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9D11-4A26-9889-B954E4BC65F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'All local authorities'!$F$120:$F$125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'All local authorities'!$H$120:$H$125</c:f>
              <c:numCache>
                <c:formatCode>0%</c:formatCode>
                <c:ptCount val="6"/>
                <c:pt idx="0">
                  <c:v>0.13642131979695432</c:v>
                </c:pt>
                <c:pt idx="1">
                  <c:v>6.3451776649746192E-3</c:v>
                </c:pt>
                <c:pt idx="2">
                  <c:v>0.20304568527918782</c:v>
                </c:pt>
                <c:pt idx="3">
                  <c:v>9.073604060913705E-2</c:v>
                </c:pt>
                <c:pt idx="4">
                  <c:v>0.15228426395939088</c:v>
                </c:pt>
                <c:pt idx="5">
                  <c:v>0.41116751269035534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8E-4880-8E80-F845B00F699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615390965674502"/>
          <c:y val="0.28038516437951233"/>
          <c:w val="0.34017087912225963"/>
          <c:h val="0.5998198801271190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South East - Number of family households supported, as at end of quarter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'South East'!$A$11</c:f>
              <c:strCache>
                <c:ptCount val="1"/>
                <c:pt idx="0">
                  <c:v>Number of financially supported households at end of quarter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East'!$B$10:$E$10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'South East'!$B$11:$E$11</c:f>
              <c:numCache>
                <c:formatCode>General</c:formatCode>
                <c:ptCount val="4"/>
                <c:pt idx="0">
                  <c:v>119</c:v>
                </c:pt>
                <c:pt idx="1">
                  <c:v>124</c:v>
                </c:pt>
                <c:pt idx="2">
                  <c:v>129</c:v>
                </c:pt>
                <c:pt idx="3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5-4820-A5B0-6A4E0E269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785215"/>
        <c:axId val="161786879"/>
      </c:lineChart>
      <c:catAx>
        <c:axId val="16178521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786879"/>
        <c:crosses val="autoZero"/>
        <c:auto val="1"/>
        <c:lblAlgn val="ctr"/>
        <c:lblOffset val="100"/>
        <c:noMultiLvlLbl val="0"/>
      </c:catAx>
      <c:valAx>
        <c:axId val="16178687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785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South East - Number of adult households supported, as at end of quarter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'South East'!$A$34</c:f>
              <c:strCache>
                <c:ptCount val="1"/>
                <c:pt idx="0">
                  <c:v>Number of financially supported households at end of quarter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East'!$B$33:$E$33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'South East'!$B$34:$E$34</c:f>
              <c:numCache>
                <c:formatCode>General</c:formatCode>
                <c:ptCount val="4"/>
                <c:pt idx="0">
                  <c:v>38</c:v>
                </c:pt>
                <c:pt idx="1">
                  <c:v>40</c:v>
                </c:pt>
                <c:pt idx="2">
                  <c:v>40</c:v>
                </c:pt>
                <c:pt idx="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E-4298-966F-EDC19CC64FC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65698543"/>
        <c:axId val="1765694799"/>
      </c:lineChart>
      <c:catAx>
        <c:axId val="1765698543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694799"/>
        <c:crosses val="autoZero"/>
        <c:auto val="1"/>
        <c:lblAlgn val="ctr"/>
        <c:lblOffset val="100"/>
        <c:noMultiLvlLbl val="0"/>
      </c:catAx>
      <c:valAx>
        <c:axId val="176569479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698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South East - Number of looked after children and care leavers open as at end of quarter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'South East'!$A$56</c:f>
              <c:strCache>
                <c:ptCount val="1"/>
                <c:pt idx="0">
                  <c:v>Number of open cases 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East'!$B$55:$E$55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'South East'!$B$56:$E$56</c:f>
              <c:numCache>
                <c:formatCode>General</c:formatCode>
                <c:ptCount val="4"/>
                <c:pt idx="0">
                  <c:v>284</c:v>
                </c:pt>
                <c:pt idx="1">
                  <c:v>254</c:v>
                </c:pt>
                <c:pt idx="2">
                  <c:v>317</c:v>
                </c:pt>
                <c:pt idx="3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6-4EC3-80A8-EB294B19A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156303"/>
        <c:axId val="142158799"/>
      </c:lineChart>
      <c:catAx>
        <c:axId val="142156303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58799"/>
        <c:crosses val="autoZero"/>
        <c:auto val="1"/>
        <c:lblAlgn val="ctr"/>
        <c:lblOffset val="100"/>
        <c:noMultiLvlLbl val="0"/>
      </c:catAx>
      <c:valAx>
        <c:axId val="14215879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56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South East - Closure reason family cases - all closures in the year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'South East'!$B$75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740-4090-8CBA-95BE5CC544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740-4090-8CBA-95BE5CC544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740-4090-8CBA-95BE5CC544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934-48D6-963E-847468CA191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740-4090-8CBA-95BE5CC544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740-4090-8CBA-95BE5CC544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7740-4090-8CBA-95BE5CC54404}"/>
              </c:ext>
            </c:extLst>
          </c:dPt>
          <c:dLbls>
            <c:dLbl>
              <c:idx val="0"/>
              <c:layout>
                <c:manualLayout>
                  <c:x val="-1.939176386374163E-2"/>
                  <c:y val="9.796317043535890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40-4090-8CBA-95BE5CC544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40-4090-8CBA-95BE5CC54404}"/>
                </c:ext>
              </c:extLst>
            </c:dLbl>
            <c:dLbl>
              <c:idx val="2"/>
              <c:layout>
                <c:manualLayout>
                  <c:x val="4.0761926817971285E-2"/>
                  <c:y val="1.496757294115790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40-4090-8CBA-95BE5CC54404}"/>
                </c:ext>
              </c:extLst>
            </c:dLbl>
            <c:dLbl>
              <c:idx val="4"/>
              <c:layout>
                <c:manualLayout>
                  <c:x val="9.3877426417954449E-2"/>
                  <c:y val="1.357234153346062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40-4090-8CBA-95BE5CC54404}"/>
                </c:ext>
              </c:extLst>
            </c:dLbl>
            <c:dLbl>
              <c:idx val="5"/>
              <c:layout>
                <c:manualLayout>
                  <c:x val="-1.0959408817213348E-2"/>
                  <c:y val="-4.33395925709687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40-4090-8CBA-95BE5CC54404}"/>
                </c:ext>
              </c:extLst>
            </c:dLbl>
            <c:dLbl>
              <c:idx val="6"/>
              <c:layout>
                <c:manualLayout>
                  <c:x val="8.7387890016421749E-2"/>
                  <c:y val="0.1783554510595995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40-4090-8CBA-95BE5CC544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East'!$A$76:$A$82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'South East'!$B$76:$B$82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41</c:v>
                </c:pt>
                <c:pt idx="4">
                  <c:v>6</c:v>
                </c:pt>
                <c:pt idx="5">
                  <c:v>2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0-4090-8CBA-95BE5CC54404}"/>
            </c:ext>
          </c:extLst>
        </c:ser>
        <c:ser>
          <c:idx val="1"/>
          <c:order val="1"/>
          <c:tx>
            <c:strRef>
              <c:f>'South East'!$C$75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934-48D6-963E-847468CA19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934-48D6-963E-847468CA19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E934-48D6-963E-847468CA19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E934-48D6-963E-847468CA191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E934-48D6-963E-847468CA191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E934-48D6-963E-847468CA191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E934-48D6-963E-847468CA191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East'!$A$76:$A$82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'South East'!$C$76:$C$82</c:f>
              <c:numCache>
                <c:formatCode>0%</c:formatCode>
                <c:ptCount val="7"/>
                <c:pt idx="0">
                  <c:v>6.1538461538461542E-2</c:v>
                </c:pt>
                <c:pt idx="1">
                  <c:v>0</c:v>
                </c:pt>
                <c:pt idx="2">
                  <c:v>1.5384615384615385E-2</c:v>
                </c:pt>
                <c:pt idx="3">
                  <c:v>0.63076923076923075</c:v>
                </c:pt>
                <c:pt idx="4">
                  <c:v>9.2307692307692313E-2</c:v>
                </c:pt>
                <c:pt idx="5">
                  <c:v>3.0769230769230771E-2</c:v>
                </c:pt>
                <c:pt idx="6">
                  <c:v>0.16923076923076924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40-4090-8CBA-95BE5CC544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South East - Closure reason adult cases - all closures in the year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'South East'!$B$97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EED-40A9-B286-C6A64E3F8B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EED-40A9-B286-C6A64E3F8B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EED-40A9-B286-C6A64E3F8B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EED-40A9-B286-C6A64E3F8B5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EED-40A9-B286-C6A64E3F8B5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EED-40A9-B286-C6A64E3F8B5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EED-40A9-B286-C6A64E3F8B5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ED-40A9-B286-C6A64E3F8B5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ED-40A9-B286-C6A64E3F8B5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ED-40A9-B286-C6A64E3F8B5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East'!$A$98:$A$104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'South East'!$B$98:$B$104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74-4C6F-87CE-01C0C2CD4E06}"/>
            </c:ext>
          </c:extLst>
        </c:ser>
        <c:ser>
          <c:idx val="1"/>
          <c:order val="1"/>
          <c:tx>
            <c:strRef>
              <c:f>'South East'!$C$97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EED-40A9-B286-C6A64E3F8B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EED-40A9-B286-C6A64E3F8B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0EED-40A9-B286-C6A64E3F8B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0EED-40A9-B286-C6A64E3F8B5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0EED-40A9-B286-C6A64E3F8B5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0EED-40A9-B286-C6A64E3F8B5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0EED-40A9-B286-C6A64E3F8B5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East'!$A$98:$A$104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'South East'!$C$98:$C$104</c:f>
              <c:numCache>
                <c:formatCode>0%</c:formatCode>
                <c:ptCount val="7"/>
                <c:pt idx="0">
                  <c:v>0</c:v>
                </c:pt>
                <c:pt idx="1">
                  <c:v>0.37</c:v>
                </c:pt>
                <c:pt idx="2">
                  <c:v>0</c:v>
                </c:pt>
                <c:pt idx="3">
                  <c:v>0.37</c:v>
                </c:pt>
                <c:pt idx="4">
                  <c:v>0.125</c:v>
                </c:pt>
                <c:pt idx="5">
                  <c:v>0</c:v>
                </c:pt>
                <c:pt idx="6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74-4C6F-87CE-01C0C2CD4E0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969315079333679"/>
          <c:y val="0.20082459891189097"/>
          <c:w val="0.32523147232224114"/>
          <c:h val="0.7880857276946342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South East - Immigration status, family households financially supported 31 March 2022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'South East'!$G$119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54-4781-9A75-C4414C641D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2C4-4309-8111-6A79B62272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54-4781-9A75-C4414C641D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54-4781-9A75-C4414C641DE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54-4781-9A75-C4414C641DE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B54-4781-9A75-C4414C641DE7}"/>
              </c:ext>
            </c:extLst>
          </c:dPt>
          <c:dLbls>
            <c:dLbl>
              <c:idx val="1"/>
              <c:layout>
                <c:manualLayout>
                  <c:x val="3.2390650121614378E-2"/>
                  <c:y val="4.658140459715262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C4-4309-8111-6A79B622726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East'!$F$120:$F$125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'South East'!$G$120:$G$125</c:f>
              <c:numCache>
                <c:formatCode>General</c:formatCode>
                <c:ptCount val="6"/>
                <c:pt idx="0">
                  <c:v>18</c:v>
                </c:pt>
                <c:pt idx="1">
                  <c:v>2</c:v>
                </c:pt>
                <c:pt idx="2">
                  <c:v>30</c:v>
                </c:pt>
                <c:pt idx="3">
                  <c:v>11</c:v>
                </c:pt>
                <c:pt idx="4">
                  <c:v>32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4-4309-8111-6A79B6227261}"/>
            </c:ext>
          </c:extLst>
        </c:ser>
        <c:ser>
          <c:idx val="1"/>
          <c:order val="1"/>
          <c:tx>
            <c:strRef>
              <c:f>'South East'!$H$119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B54-4781-9A75-C4414C641D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B54-4781-9A75-C4414C641D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B54-4781-9A75-C4414C641D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AB54-4781-9A75-C4414C641DE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AB54-4781-9A75-C4414C641DE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AB54-4781-9A75-C4414C641DE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East'!$F$120:$F$125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'South East'!$H$120:$H$125</c:f>
              <c:numCache>
                <c:formatCode>0%</c:formatCode>
                <c:ptCount val="6"/>
                <c:pt idx="0">
                  <c:v>0.14173228346456693</c:v>
                </c:pt>
                <c:pt idx="1">
                  <c:v>1.5748031496062992E-2</c:v>
                </c:pt>
                <c:pt idx="2">
                  <c:v>0.23622047244094488</c:v>
                </c:pt>
                <c:pt idx="3">
                  <c:v>8.6614173228346455E-2</c:v>
                </c:pt>
                <c:pt idx="4">
                  <c:v>0.25196850393700787</c:v>
                </c:pt>
                <c:pt idx="5">
                  <c:v>0.26771653543307089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C4-4309-8111-6A79B622726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South East - Immigration status, adult households financially supported 31 March 2022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'South East'!$G$150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1A-4F31-A6B0-29917F1566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1A-4F31-A6B0-29917F1566E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3F9-4972-B48A-14E7EAA58E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1A-4F31-A6B0-29917F1566E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1A-4F31-A6B0-29917F1566E1}"/>
              </c:ext>
            </c:extLst>
          </c:dPt>
          <c:dLbls>
            <c:dLbl>
              <c:idx val="2"/>
              <c:layout>
                <c:manualLayout>
                  <c:x val="3.8679588128407029E-2"/>
                  <c:y val="-9.856792340875923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F9-4972-B48A-14E7EAA58E2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East'!$F$151:$F$155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'South East'!$G$151:$G$155</c:f>
              <c:numCache>
                <c:formatCode>General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</c:v>
                </c:pt>
                <c:pt idx="3">
                  <c:v>6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9-4972-B48A-14E7EAA58E24}"/>
            </c:ext>
          </c:extLst>
        </c:ser>
        <c:ser>
          <c:idx val="1"/>
          <c:order val="1"/>
          <c:tx>
            <c:strRef>
              <c:f>'South East'!$H$150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E1A-4F31-A6B0-29917F1566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E1A-4F31-A6B0-29917F1566E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E1A-4F31-A6B0-29917F1566E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E1A-4F31-A6B0-29917F1566E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BE1A-4F31-A6B0-29917F1566E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East'!$F$151:$F$155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'South East'!$H$151:$H$155</c:f>
              <c:numCache>
                <c:formatCode>0%</c:formatCode>
                <c:ptCount val="5"/>
                <c:pt idx="0">
                  <c:v>0.23529411764705882</c:v>
                </c:pt>
                <c:pt idx="1">
                  <c:v>0.29411764705882354</c:v>
                </c:pt>
                <c:pt idx="2">
                  <c:v>2.9411764705882353E-2</c:v>
                </c:pt>
                <c:pt idx="3">
                  <c:v>0.17647058823529413</c:v>
                </c:pt>
                <c:pt idx="4">
                  <c:v>0.26470588235294118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9-4972-B48A-14E7EAA58E2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South East - Immigration status, looked after children and care leavers, open 31 March 2022 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'South East'!$G$178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22-4D0C-8524-15F8F005A8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E36-4E0E-9F81-199071B715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E36-4E0E-9F81-199071B715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822-4D0C-8524-15F8F005A82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822-4D0C-8524-15F8F005A825}"/>
              </c:ext>
            </c:extLst>
          </c:dPt>
          <c:dLbls>
            <c:dLbl>
              <c:idx val="1"/>
              <c:layout>
                <c:manualLayout>
                  <c:x val="1.3651155972524712E-2"/>
                  <c:y val="7.687208260644065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36-4E0E-9F81-199071B71529}"/>
                </c:ext>
              </c:extLst>
            </c:dLbl>
            <c:dLbl>
              <c:idx val="2"/>
              <c:layout>
                <c:manualLayout>
                  <c:x val="7.033736806835314E-2"/>
                  <c:y val="-3.626820358795364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36-4E0E-9F81-199071B7152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East'!$F$179:$F$183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'South East'!$G$179:$G$183</c:f>
              <c:numCache>
                <c:formatCode>General</c:formatCode>
                <c:ptCount val="5"/>
                <c:pt idx="0">
                  <c:v>297</c:v>
                </c:pt>
                <c:pt idx="1">
                  <c:v>3</c:v>
                </c:pt>
                <c:pt idx="2">
                  <c:v>4</c:v>
                </c:pt>
                <c:pt idx="3">
                  <c:v>88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6-4E0E-9F81-199071B71529}"/>
            </c:ext>
          </c:extLst>
        </c:ser>
        <c:ser>
          <c:idx val="1"/>
          <c:order val="1"/>
          <c:tx>
            <c:strRef>
              <c:f>'South East'!$H$178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822-4D0C-8524-15F8F005A8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822-4D0C-8524-15F8F005A82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822-4D0C-8524-15F8F005A82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822-4D0C-8524-15F8F005A82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C822-4D0C-8524-15F8F005A82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East'!$F$179:$F$183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'South East'!$H$179:$H$183</c:f>
              <c:numCache>
                <c:formatCode>0%</c:formatCode>
                <c:ptCount val="5"/>
                <c:pt idx="0">
                  <c:v>0.69</c:v>
                </c:pt>
                <c:pt idx="1">
                  <c:v>7.0257611241217799E-3</c:v>
                </c:pt>
                <c:pt idx="2">
                  <c:v>9.3676814988290398E-3</c:v>
                </c:pt>
                <c:pt idx="3">
                  <c:v>0.20608899297423888</c:v>
                </c:pt>
                <c:pt idx="4">
                  <c:v>8.1967213114754092E-2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36-4E0E-9F81-199071B7152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South East - Immigration status, family households referred  2021-2022 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'South East'!$G$207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E9D-4572-BC2B-AF0BC821BA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08C-4CDA-A374-E4C3EC8C4E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E9D-4572-BC2B-AF0BC821BA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E9D-4572-BC2B-AF0BC821BA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E9D-4572-BC2B-AF0BC821BA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E9D-4572-BC2B-AF0BC821BA91}"/>
              </c:ext>
            </c:extLst>
          </c:dPt>
          <c:dLbls>
            <c:dLbl>
              <c:idx val="1"/>
              <c:layout>
                <c:manualLayout>
                  <c:x val="9.936882889638796E-3"/>
                  <c:y val="9.556515113030187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8C-4CDA-A374-E4C3EC8C4E4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East'!$F$208:$F$213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'South East'!$G$208:$G$213</c:f>
              <c:numCache>
                <c:formatCode>General</c:formatCode>
                <c:ptCount val="6"/>
                <c:pt idx="0">
                  <c:v>32</c:v>
                </c:pt>
                <c:pt idx="1">
                  <c:v>5</c:v>
                </c:pt>
                <c:pt idx="2">
                  <c:v>72</c:v>
                </c:pt>
                <c:pt idx="3">
                  <c:v>44</c:v>
                </c:pt>
                <c:pt idx="4">
                  <c:v>32</c:v>
                </c:pt>
                <c:pt idx="5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8C-4CDA-A374-E4C3EC8C4E4C}"/>
            </c:ext>
          </c:extLst>
        </c:ser>
        <c:ser>
          <c:idx val="1"/>
          <c:order val="1"/>
          <c:tx>
            <c:strRef>
              <c:f>'South East'!$H$207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E9D-4572-BC2B-AF0BC821BA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E9D-4572-BC2B-AF0BC821BA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E9D-4572-BC2B-AF0BC821BA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9E9D-4572-BC2B-AF0BC821BA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9E9D-4572-BC2B-AF0BC821BA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9E9D-4572-BC2B-AF0BC821BA9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East'!$F$208:$F$213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'South East'!$H$208:$H$213</c:f>
              <c:numCache>
                <c:formatCode>0%</c:formatCode>
                <c:ptCount val="6"/>
                <c:pt idx="0">
                  <c:v>0.13852813852813853</c:v>
                </c:pt>
                <c:pt idx="1">
                  <c:v>2.1645021645021644E-2</c:v>
                </c:pt>
                <c:pt idx="2">
                  <c:v>0.31168831168831168</c:v>
                </c:pt>
                <c:pt idx="3">
                  <c:v>0.19047619047619047</c:v>
                </c:pt>
                <c:pt idx="4">
                  <c:v>0.13852813852813853</c:v>
                </c:pt>
                <c:pt idx="5">
                  <c:v>0.19913419913419914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8C-4CDA-A374-E4C3EC8C4E4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South East - Immigration status, adult households referred  2021-2022  </a:t>
            </a:r>
            <a:r>
              <a:rPr lang="en-GB" sz="140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'South East'!$G$239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2DD-48E0-A729-4A74B1C71A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AA-4A2A-9BB9-458D550983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2DD-48E0-A729-4A74B1C71A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2DD-48E0-A729-4A74B1C71A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2DD-48E0-A729-4A74B1C71A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2DD-48E0-A729-4A74B1C71A20}"/>
              </c:ext>
            </c:extLst>
          </c:dPt>
          <c:dLbls>
            <c:dLbl>
              <c:idx val="1"/>
              <c:layout>
                <c:manualLayout>
                  <c:x val="-7.940440137290625E-3"/>
                  <c:y val="1.915944051297385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AA-4A2A-9BB9-458D5509830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East'!$F$240:$F$245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'South East'!$G$240:$G$245</c:f>
              <c:numCache>
                <c:formatCode>General</c:formatCode>
                <c:ptCount val="6"/>
                <c:pt idx="0">
                  <c:v>11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A-4A2A-9BB9-458D55098302}"/>
            </c:ext>
          </c:extLst>
        </c:ser>
        <c:ser>
          <c:idx val="1"/>
          <c:order val="1"/>
          <c:tx>
            <c:strRef>
              <c:f>'South East'!$H$239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2DD-48E0-A729-4A74B1C71A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2DD-48E0-A729-4A74B1C71A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2DD-48E0-A729-4A74B1C71A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D2DD-48E0-A729-4A74B1C71A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D2DD-48E0-A729-4A74B1C71A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D2DD-48E0-A729-4A74B1C71A2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East'!$F$240:$F$245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'South East'!$H$240:$H$245</c:f>
              <c:numCache>
                <c:formatCode>0%</c:formatCode>
                <c:ptCount val="6"/>
                <c:pt idx="0">
                  <c:v>0.35483870967741937</c:v>
                </c:pt>
                <c:pt idx="1">
                  <c:v>3.2258064516129031E-2</c:v>
                </c:pt>
                <c:pt idx="2">
                  <c:v>0.12903225806451613</c:v>
                </c:pt>
                <c:pt idx="3">
                  <c:v>0.16129032258064516</c:v>
                </c:pt>
                <c:pt idx="4">
                  <c:v>0.12903225806451613</c:v>
                </c:pt>
                <c:pt idx="5">
                  <c:v>0.19354838709677419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A-4A2A-9BB9-458D5509830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Immigration status, adult households financially supported 31 March 2022, all local authorities</a:t>
            </a:r>
            <a:r>
              <a:rPr lang="en-US" sz="1400"/>
              <a:t> </a:t>
            </a:r>
          </a:p>
        </c:rich>
      </c:tx>
      <c:layout>
        <c:manualLayout>
          <c:xMode val="edge"/>
          <c:yMode val="edge"/>
          <c:x val="0.10254438381578637"/>
          <c:y val="2.8093642525621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'All local authorities'!$G$157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700-43ED-B920-FF41CAF401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D2F-4B75-AF57-40970B0E21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700-43ED-B920-FF41CAF401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D2F-4B75-AF57-40970B0E21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9D2F-4B75-AF57-40970B0E21F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700-43ED-B920-FF41CAF4010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2F-4B75-AF57-40970B0E21F9}"/>
                </c:ext>
              </c:extLst>
            </c:dLbl>
            <c:dLbl>
              <c:idx val="3"/>
              <c:layout>
                <c:manualLayout>
                  <c:x val="8.3232297223989823E-3"/>
                  <c:y val="-6.24396215795832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2F-4B75-AF57-40970B0E21F9}"/>
                </c:ext>
              </c:extLst>
            </c:dLbl>
            <c:dLbl>
              <c:idx val="4"/>
              <c:layout>
                <c:manualLayout>
                  <c:x val="5.4886027133117556E-2"/>
                  <c:y val="-0.1425728657127048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2F-4B75-AF57-40970B0E21F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'All local authorities'!$F$158:$F$163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'All local authorities'!$G$158:$G$163</c:f>
              <c:numCache>
                <c:formatCode>General</c:formatCode>
                <c:ptCount val="6"/>
                <c:pt idx="0">
                  <c:v>205</c:v>
                </c:pt>
                <c:pt idx="1">
                  <c:v>2</c:v>
                </c:pt>
                <c:pt idx="2" formatCode="0">
                  <c:v>176</c:v>
                </c:pt>
                <c:pt idx="3">
                  <c:v>37</c:v>
                </c:pt>
                <c:pt idx="4">
                  <c:v>63</c:v>
                </c:pt>
                <c:pt idx="5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F-4B75-AF57-40970B0E21F9}"/>
            </c:ext>
          </c:extLst>
        </c:ser>
        <c:ser>
          <c:idx val="1"/>
          <c:order val="1"/>
          <c:tx>
            <c:strRef>
              <c:f>'All local authorities'!$H$157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700-43ED-B920-FF41CAF401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700-43ED-B920-FF41CAF401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700-43ED-B920-FF41CAF401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A700-43ED-B920-FF41CAF401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A700-43ED-B920-FF41CAF401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A700-43ED-B920-FF41CAF4010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'All local authorities'!$F$158:$F$163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'All local authorities'!$H$158:$H$163</c:f>
              <c:numCache>
                <c:formatCode>0%</c:formatCode>
                <c:ptCount val="6"/>
                <c:pt idx="0">
                  <c:v>0.26214833759590794</c:v>
                </c:pt>
                <c:pt idx="1">
                  <c:v>2.5575447570332483E-3</c:v>
                </c:pt>
                <c:pt idx="2">
                  <c:v>0.22506393861892582</c:v>
                </c:pt>
                <c:pt idx="3">
                  <c:v>4.7314578005115092E-2</c:v>
                </c:pt>
                <c:pt idx="4">
                  <c:v>8.0562659846547313E-2</c:v>
                </c:pt>
                <c:pt idx="5">
                  <c:v>0.38235294117647056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F-4B75-AF57-40970B0E21F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611493608877968"/>
          <c:y val="0.24300179148323373"/>
          <c:w val="0.34018383027875537"/>
          <c:h val="0.667226854109303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South West - Number of family households supported, as at end of quarter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'South West'!$A$11</c:f>
              <c:strCache>
                <c:ptCount val="1"/>
                <c:pt idx="0">
                  <c:v>Number of financially supported households at end of quarter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West'!$B$10:$E$10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'South West'!$B$11:$E$11</c:f>
              <c:numCache>
                <c:formatCode>General</c:formatCode>
                <c:ptCount val="4"/>
                <c:pt idx="0">
                  <c:v>63</c:v>
                </c:pt>
                <c:pt idx="1">
                  <c:v>66</c:v>
                </c:pt>
                <c:pt idx="2">
                  <c:v>78</c:v>
                </c:pt>
                <c:pt idx="3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B-4779-B835-CD7FF85F2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1466895"/>
        <c:axId val="1951465647"/>
      </c:lineChart>
      <c:catAx>
        <c:axId val="195146689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465647"/>
        <c:crosses val="autoZero"/>
        <c:auto val="1"/>
        <c:lblAlgn val="ctr"/>
        <c:lblOffset val="100"/>
        <c:noMultiLvlLbl val="0"/>
      </c:catAx>
      <c:valAx>
        <c:axId val="195146564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466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South West - Number of adult households supported, as at end of quarter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'South West'!$A$34</c:f>
              <c:strCache>
                <c:ptCount val="1"/>
                <c:pt idx="0">
                  <c:v>Number of financially supported households at end of quarter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West'!$B$33:$E$33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'South West'!$B$34:$E$34</c:f>
              <c:numCache>
                <c:formatCode>General</c:formatCode>
                <c:ptCount val="4"/>
                <c:pt idx="0">
                  <c:v>22</c:v>
                </c:pt>
                <c:pt idx="1">
                  <c:v>18</c:v>
                </c:pt>
                <c:pt idx="2">
                  <c:v>18</c:v>
                </c:pt>
                <c:pt idx="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B-40AF-98E7-A3DAC8BB5ED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49555359"/>
        <c:axId val="1949557855"/>
      </c:lineChart>
      <c:catAx>
        <c:axId val="194955535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557855"/>
        <c:crosses val="autoZero"/>
        <c:auto val="1"/>
        <c:lblAlgn val="ctr"/>
        <c:lblOffset val="100"/>
        <c:noMultiLvlLbl val="0"/>
      </c:catAx>
      <c:valAx>
        <c:axId val="194955785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555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South West - Number of looked after children and care leavers open as at end of quarter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'South West'!$A$56</c:f>
              <c:strCache>
                <c:ptCount val="1"/>
                <c:pt idx="0">
                  <c:v>Number of open cases 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West'!$B$55:$E$55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'South West'!$B$56:$E$56</c:f>
              <c:numCache>
                <c:formatCode>General</c:formatCode>
                <c:ptCount val="4"/>
                <c:pt idx="0">
                  <c:v>115</c:v>
                </c:pt>
                <c:pt idx="1">
                  <c:v>114</c:v>
                </c:pt>
                <c:pt idx="2">
                  <c:v>128</c:v>
                </c:pt>
                <c:pt idx="3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0-4F30-B507-75759193815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2155471"/>
        <c:axId val="142129263"/>
      </c:lineChart>
      <c:catAx>
        <c:axId val="14215547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29263"/>
        <c:crosses val="autoZero"/>
        <c:auto val="1"/>
        <c:lblAlgn val="ctr"/>
        <c:lblOffset val="100"/>
        <c:noMultiLvlLbl val="0"/>
      </c:catAx>
      <c:valAx>
        <c:axId val="14212926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554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South West - Closure reason family cases - all closures in the year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'South West'!$B$72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846-4E4C-960D-BAFE5C4C45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846-4E4C-960D-BAFE5C4C45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846-4E4C-960D-BAFE5C4C45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E41-4F35-A337-55BB78F884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E41-4F35-A337-55BB78F884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846-4E4C-960D-BAFE5C4C450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4846-4E4C-960D-BAFE5C4C4501}"/>
              </c:ext>
            </c:extLst>
          </c:dPt>
          <c:dLbls>
            <c:dLbl>
              <c:idx val="0"/>
              <c:layout>
                <c:manualLayout>
                  <c:x val="-1.9574204039712426E-2"/>
                  <c:y val="0.107487761212946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46-4E4C-960D-BAFE5C4C450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46-4E4C-960D-BAFE5C4C450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46-4E4C-960D-BAFE5C4C450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46-4E4C-960D-BAFE5C4C4501}"/>
                </c:ext>
              </c:extLst>
            </c:dLbl>
            <c:dLbl>
              <c:idx val="6"/>
              <c:layout>
                <c:manualLayout>
                  <c:x val="-0.13423827456350568"/>
                  <c:y val="5.723601451227043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46-4E4C-960D-BAFE5C4C450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West'!$A$73:$A$79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'South West'!$B$73:$B$79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29</c:v>
                </c:pt>
                <c:pt idx="4">
                  <c:v>7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6-4E4C-960D-BAFE5C4C4501}"/>
            </c:ext>
          </c:extLst>
        </c:ser>
        <c:ser>
          <c:idx val="1"/>
          <c:order val="1"/>
          <c:tx>
            <c:strRef>
              <c:f>'South West'!$C$72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E41-4F35-A337-55BB78F884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E41-4F35-A337-55BB78F884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8E41-4F35-A337-55BB78F884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8E41-4F35-A337-55BB78F884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8E41-4F35-A337-55BB78F884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8E41-4F35-A337-55BB78F8845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8E41-4F35-A337-55BB78F8845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West'!$A$73:$A$79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'South West'!$C$73:$C$79</c:f>
              <c:numCache>
                <c:formatCode>0%</c:formatCode>
                <c:ptCount val="7"/>
                <c:pt idx="0">
                  <c:v>5.128205128205128E-2</c:v>
                </c:pt>
                <c:pt idx="1">
                  <c:v>0</c:v>
                </c:pt>
                <c:pt idx="2">
                  <c:v>0</c:v>
                </c:pt>
                <c:pt idx="3">
                  <c:v>0.74358974358974361</c:v>
                </c:pt>
                <c:pt idx="4">
                  <c:v>0.17948717948717949</c:v>
                </c:pt>
                <c:pt idx="5">
                  <c:v>0</c:v>
                </c:pt>
                <c:pt idx="6">
                  <c:v>2.564102564102564E-2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6-4E4C-960D-BAFE5C4C450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South West - Closure reason adult cases - all closures in the year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'South West'!$B$92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7C8-474B-B747-61F67D5E49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30C8-400F-8307-708009CFF2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0C8-400F-8307-708009CFF2C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7C8-474B-B747-61F67D5E49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7C8-474B-B747-61F67D5E49F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7C8-474B-B747-61F67D5E49F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7C8-474B-B747-61F67D5E49F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C8-400F-8307-708009CFF2C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C8-400F-8307-708009CFF2C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West'!$A$93:$A$99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'South West'!$B$93:$B$99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8-400F-8307-708009CFF2CE}"/>
            </c:ext>
          </c:extLst>
        </c:ser>
        <c:ser>
          <c:idx val="1"/>
          <c:order val="1"/>
          <c:tx>
            <c:strRef>
              <c:f>'South West'!$C$92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7C8-474B-B747-61F67D5E49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7C8-474B-B747-61F67D5E49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F7C8-474B-B747-61F67D5E49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F7C8-474B-B747-61F67D5E49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F7C8-474B-B747-61F67D5E49F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F7C8-474B-B747-61F67D5E49F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F7C8-474B-B747-61F67D5E49F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West'!$A$93:$A$99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'South West'!$C$93:$C$99</c:f>
              <c:numCache>
                <c:formatCode>0%</c:formatCode>
                <c:ptCount val="7"/>
                <c:pt idx="0">
                  <c:v>0.1111111111111111</c:v>
                </c:pt>
                <c:pt idx="1">
                  <c:v>0</c:v>
                </c:pt>
                <c:pt idx="2">
                  <c:v>0</c:v>
                </c:pt>
                <c:pt idx="3">
                  <c:v>0.34</c:v>
                </c:pt>
                <c:pt idx="4">
                  <c:v>0.22222222222222221</c:v>
                </c:pt>
                <c:pt idx="5">
                  <c:v>0.1111111111111111</c:v>
                </c:pt>
                <c:pt idx="6">
                  <c:v>0.22222222222222221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C8-400F-8307-708009CFF2C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South West - Immigration status, family households financially supported 31 March 2022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'South West'!$G$114</c:f>
              <c:strCache>
                <c:ptCount val="1"/>
                <c:pt idx="0">
                  <c:v>Number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388-450F-B644-26882DCED4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0E3-403E-981B-76555E6E0B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388-450F-B644-26882DCED4F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388-450F-B644-26882DCED4F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388-450F-B644-26882DCED4F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388-450F-B644-26882DCED4F1}"/>
              </c:ext>
            </c:extLst>
          </c:dPt>
          <c:dLbls>
            <c:dLbl>
              <c:idx val="1"/>
              <c:layout>
                <c:manualLayout>
                  <c:x val="7.9761651415194727E-4"/>
                  <c:y val="4.767305927249891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E3-403E-981B-76555E6E0BF0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West'!$F$115:$F$120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'South West'!$G$115:$G$120</c:f>
              <c:numCache>
                <c:formatCode>General</c:formatCode>
                <c:ptCount val="6"/>
                <c:pt idx="0">
                  <c:v>20</c:v>
                </c:pt>
                <c:pt idx="1">
                  <c:v>1</c:v>
                </c:pt>
                <c:pt idx="2">
                  <c:v>22</c:v>
                </c:pt>
                <c:pt idx="3">
                  <c:v>6</c:v>
                </c:pt>
                <c:pt idx="4">
                  <c:v>11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3-403E-981B-76555E6E0BF0}"/>
            </c:ext>
          </c:extLst>
        </c:ser>
        <c:ser>
          <c:idx val="1"/>
          <c:order val="1"/>
          <c:tx>
            <c:strRef>
              <c:f>'South West'!$H$114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388-450F-B644-26882DCED4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388-450F-B644-26882DCED4F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388-450F-B644-26882DCED4F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A388-450F-B644-26882DCED4F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A388-450F-B644-26882DCED4F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A388-450F-B644-26882DCED4F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West'!$F$115:$F$120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'South West'!$H$115:$H$120</c:f>
              <c:numCache>
                <c:formatCode>0%</c:formatCode>
                <c:ptCount val="6"/>
                <c:pt idx="0">
                  <c:v>0.26315789473684209</c:v>
                </c:pt>
                <c:pt idx="1">
                  <c:v>1.3157894736842105E-2</c:v>
                </c:pt>
                <c:pt idx="2">
                  <c:v>0.28947368421052633</c:v>
                </c:pt>
                <c:pt idx="3">
                  <c:v>7.8947368421052627E-2</c:v>
                </c:pt>
                <c:pt idx="4">
                  <c:v>0.15</c:v>
                </c:pt>
                <c:pt idx="5">
                  <c:v>0.21052631578947367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E3-403E-981B-76555E6E0BF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South West - Immigration status, adult households financially supported 31 March 2022</a:t>
            </a:r>
            <a:r>
              <a:rPr lang="en-US" sz="140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'South West'!$G$143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38B-42A0-809E-883DAD0AA8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38B-42A0-809E-883DAD0AA82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DFA-4759-9257-CDD78D477C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3DFA-4759-9257-CDD78D477C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38B-42A0-809E-883DAD0AA825}"/>
              </c:ext>
            </c:extLst>
          </c:dPt>
          <c:dLbls>
            <c:dLbl>
              <c:idx val="2"/>
              <c:layout>
                <c:manualLayout>
                  <c:x val="8.8548786427469758E-2"/>
                  <c:y val="-0.128161319711069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DFA-4759-9257-CDD78D477CE0}"/>
                </c:ext>
              </c:extLst>
            </c:dLbl>
            <c:dLbl>
              <c:idx val="3"/>
              <c:layout>
                <c:manualLayout>
                  <c:x val="0.11520922964526339"/>
                  <c:y val="-3.757011778486366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FA-4759-9257-CDD78D477CE0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West'!$F$144:$F$148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'South West'!$G$144:$G$148</c:f>
              <c:numCache>
                <c:formatCode>General</c:formatCode>
                <c:ptCount val="5"/>
                <c:pt idx="0">
                  <c:v>7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A-4759-9257-CDD78D477CE0}"/>
            </c:ext>
          </c:extLst>
        </c:ser>
        <c:ser>
          <c:idx val="1"/>
          <c:order val="1"/>
          <c:tx>
            <c:strRef>
              <c:f>'South West'!$H$143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38B-42A0-809E-883DAD0AA8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38B-42A0-809E-883DAD0AA82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38B-42A0-809E-883DAD0AA82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38B-42A0-809E-883DAD0AA82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138B-42A0-809E-883DAD0AA82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West'!$F$144:$F$148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'South West'!$H$144:$H$148</c:f>
              <c:numCache>
                <c:formatCode>0%</c:formatCode>
                <c:ptCount val="5"/>
                <c:pt idx="0">
                  <c:v>0.33333333333333331</c:v>
                </c:pt>
                <c:pt idx="1">
                  <c:v>0.23809523809523808</c:v>
                </c:pt>
                <c:pt idx="2">
                  <c:v>9.5238095238095233E-2</c:v>
                </c:pt>
                <c:pt idx="3">
                  <c:v>9.5238095238095233E-2</c:v>
                </c:pt>
                <c:pt idx="4">
                  <c:v>0.23809523809523808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A-4759-9257-CDD78D477CE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19100576345479"/>
          <c:y val="0.25666070150322118"/>
          <c:w val="0.33134507671077196"/>
          <c:h val="0.6973189301750504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South West - Immigration status, looked after children and care leavers, open 31 March 2022  </a:t>
            </a:r>
            <a:r>
              <a:rPr lang="en-US" sz="140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'South West'!$G$169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2BF-4CBB-8569-33591BAE58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117-4384-AA70-68E9F5ADD9B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2BF-4CBB-8569-33591BAE58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2BF-4CBB-8569-33591BAE581C}"/>
              </c:ext>
            </c:extLst>
          </c:dPt>
          <c:dLbls>
            <c:dLbl>
              <c:idx val="1"/>
              <c:layout>
                <c:manualLayout>
                  <c:x val="-1.7035582577494317E-2"/>
                  <c:y val="-8.14221338422310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117-4384-AA70-68E9F5ADD9B0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West'!$F$170:$F$173</c:f>
              <c:strCache>
                <c:ptCount val="4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recourse</c:v>
                </c:pt>
                <c:pt idx="3">
                  <c:v>No current immigration permission</c:v>
                </c:pt>
              </c:strCache>
            </c:strRef>
          </c:cat>
          <c:val>
            <c:numRef>
              <c:f>'South West'!$G$170:$G$173</c:f>
              <c:numCache>
                <c:formatCode>General</c:formatCode>
                <c:ptCount val="4"/>
                <c:pt idx="0">
                  <c:v>58</c:v>
                </c:pt>
                <c:pt idx="1">
                  <c:v>3</c:v>
                </c:pt>
                <c:pt idx="2">
                  <c:v>28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7-4384-AA70-68E9F5ADD9B0}"/>
            </c:ext>
          </c:extLst>
        </c:ser>
        <c:ser>
          <c:idx val="1"/>
          <c:order val="1"/>
          <c:tx>
            <c:strRef>
              <c:f>'South West'!$H$169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2BF-4CBB-8569-33591BAE58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2BF-4CBB-8569-33591BAE58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2BF-4CBB-8569-33591BAE58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2BF-4CBB-8569-33591BAE581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West'!$F$170:$F$173</c:f>
              <c:strCache>
                <c:ptCount val="4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recourse</c:v>
                </c:pt>
                <c:pt idx="3">
                  <c:v>No current immigration permission</c:v>
                </c:pt>
              </c:strCache>
            </c:strRef>
          </c:cat>
          <c:val>
            <c:numRef>
              <c:f>'South West'!$H$170:$H$173</c:f>
              <c:numCache>
                <c:formatCode>0%</c:formatCode>
                <c:ptCount val="4"/>
                <c:pt idx="0">
                  <c:v>0.46400000000000002</c:v>
                </c:pt>
                <c:pt idx="1">
                  <c:v>2.4E-2</c:v>
                </c:pt>
                <c:pt idx="2">
                  <c:v>0.224</c:v>
                </c:pt>
                <c:pt idx="3">
                  <c:v>0.28799999999999998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17-4384-AA70-68E9F5ADD9B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933698793979867"/>
          <c:y val="0.33701428869252853"/>
          <c:w val="0.32547313864247984"/>
          <c:h val="0.5621219750789806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South West - Immigration status, family households referred  2021-2022 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'South West'!$G$195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4D2-48C1-921D-A24A3D889A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4D2-48C1-921D-A24A3D889A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4D2-48C1-921D-A24A3D889A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4D2-48C1-921D-A24A3D889A1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4D2-48C1-921D-A24A3D889A1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West'!$F$196:$F$200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'South West'!$G$196:$G$200</c:f>
              <c:numCache>
                <c:formatCode>General</c:formatCode>
                <c:ptCount val="5"/>
                <c:pt idx="0">
                  <c:v>23</c:v>
                </c:pt>
                <c:pt idx="1">
                  <c:v>39</c:v>
                </c:pt>
                <c:pt idx="2">
                  <c:v>11</c:v>
                </c:pt>
                <c:pt idx="3">
                  <c:v>30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B-4EE7-9B3A-4E33E9A2EA72}"/>
            </c:ext>
          </c:extLst>
        </c:ser>
        <c:ser>
          <c:idx val="1"/>
          <c:order val="1"/>
          <c:tx>
            <c:strRef>
              <c:f>'South West'!$H$195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4D2-48C1-921D-A24A3D889A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4D2-48C1-921D-A24A3D889A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4D2-48C1-921D-A24A3D889A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4D2-48C1-921D-A24A3D889A1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64D2-48C1-921D-A24A3D889A1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West'!$F$196:$F$200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'South West'!$H$196:$H$200</c:f>
              <c:numCache>
                <c:formatCode>0%</c:formatCode>
                <c:ptCount val="5"/>
                <c:pt idx="0">
                  <c:v>0.2072072072072072</c:v>
                </c:pt>
                <c:pt idx="1">
                  <c:v>0.35135135135135137</c:v>
                </c:pt>
                <c:pt idx="2">
                  <c:v>9.90990990990991E-2</c:v>
                </c:pt>
                <c:pt idx="3">
                  <c:v>0.27027027027027029</c:v>
                </c:pt>
                <c:pt idx="4">
                  <c:v>7.2072072072072071E-2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B-4EE7-9B3A-4E33E9A2EA7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019724807126379"/>
          <c:y val="0.27778098871661661"/>
          <c:w val="0.32465123677722102"/>
          <c:h val="0.6216543550612875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South West - Immigration status, adult households referred  2021-2022  </a:t>
            </a:r>
            <a:r>
              <a:rPr lang="en-GB" sz="1400" b="1" i="0" baseline="0">
                <a:effectLst/>
              </a:rPr>
              <a:t> </a:t>
            </a:r>
            <a:r>
              <a:rPr lang="en-US" sz="140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'South West'!$G$224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FB-4A2C-BABE-35DE36A648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FB-4A2C-BABE-35DE36A648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7FB-4A2C-BABE-35DE36A648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F89-4678-A0BC-E8EAA5D00AE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F89-4678-A0BC-E8EAA5D00AE1}"/>
              </c:ext>
            </c:extLst>
          </c:dPt>
          <c:dLbls>
            <c:dLbl>
              <c:idx val="3"/>
              <c:layout>
                <c:manualLayout>
                  <c:x val="4.4550352258599255E-2"/>
                  <c:y val="8.85778900278974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89-4678-A0BC-E8EAA5D00AE1}"/>
                </c:ext>
              </c:extLst>
            </c:dLbl>
            <c:dLbl>
              <c:idx val="4"/>
              <c:layout>
                <c:manualLayout>
                  <c:x val="2.777751465277362E-2"/>
                  <c:y val="0.1123230822562274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89-4678-A0BC-E8EAA5D00AE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West'!$F$225:$F$229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'South West'!$G$225:$G$229</c:f>
              <c:numCache>
                <c:formatCode>General</c:formatCode>
                <c:ptCount val="5"/>
                <c:pt idx="0">
                  <c:v>12</c:v>
                </c:pt>
                <c:pt idx="1">
                  <c:v>14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89-4678-A0BC-E8EAA5D00AE1}"/>
            </c:ext>
          </c:extLst>
        </c:ser>
        <c:ser>
          <c:idx val="1"/>
          <c:order val="1"/>
          <c:tx>
            <c:strRef>
              <c:f>'South West'!$H$224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7FB-4A2C-BABE-35DE36A648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7FB-4A2C-BABE-35DE36A648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7FB-4A2C-BABE-35DE36A648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7FB-4A2C-BABE-35DE36A648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D7FB-4A2C-BABE-35DE36A648E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'South West'!$F$225:$F$229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'South West'!$H$225:$H$229</c:f>
              <c:numCache>
                <c:formatCode>0%</c:formatCode>
                <c:ptCount val="5"/>
                <c:pt idx="0">
                  <c:v>0.36363636363636365</c:v>
                </c:pt>
                <c:pt idx="1">
                  <c:v>0.43</c:v>
                </c:pt>
                <c:pt idx="2">
                  <c:v>0.12121212121212122</c:v>
                </c:pt>
                <c:pt idx="3">
                  <c:v>3.0303030303030304E-2</c:v>
                </c:pt>
                <c:pt idx="4">
                  <c:v>6.0606060606060608E-2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89-4678-A0BC-E8EAA5D00AE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411027568922308"/>
          <c:y val="0.27405404513115106"/>
          <c:w val="0.34085213032581452"/>
          <c:h val="0.6195018075570741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Immigration status, looked after children and care leavers, open 31 March 2022, all local authorities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12298172604403862"/>
          <c:y val="3.1311144949336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'All local authorities'!$G$192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153-4F0F-B1F2-B851FCDBA6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3CE-4452-90E4-9C58D75E93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3CE-4452-90E4-9C58D75E93F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3CE-4452-90E4-9C58D75E93F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153-4F0F-B1F2-B851FCDBA6C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CE-4452-90E4-9C58D75E93F4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E-4452-90E4-9C58D75E93F4}"/>
                </c:ext>
              </c:extLst>
            </c:dLbl>
            <c:dLbl>
              <c:idx val="2"/>
              <c:layout>
                <c:manualLayout>
                  <c:x val="-3.90115212538431E-2"/>
                  <c:y val="-3.483056695053178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CE-4452-90E4-9C58D75E93F4}"/>
                </c:ext>
              </c:extLst>
            </c:dLbl>
            <c:dLbl>
              <c:idx val="3"/>
              <c:layout>
                <c:manualLayout>
                  <c:x val="-7.084600804156585E-2"/>
                  <c:y val="-5.76424002211503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CE-4452-90E4-9C58D75E93F4}"/>
                </c:ext>
              </c:extLst>
            </c:dLbl>
            <c:dLbl>
              <c:idx val="5"/>
              <c:layout>
                <c:manualLayout>
                  <c:x val="6.1725303592911084E-2"/>
                  <c:y val="0.1583767636788252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CE-4452-90E4-9C58D75E93F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'All local authorities'!$F$193:$F$198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'All local authorities'!$G$193:$G$198</c:f>
              <c:numCache>
                <c:formatCode>General</c:formatCode>
                <c:ptCount val="6"/>
                <c:pt idx="0">
                  <c:v>1698</c:v>
                </c:pt>
                <c:pt idx="1">
                  <c:v>9</c:v>
                </c:pt>
                <c:pt idx="2" formatCode="0">
                  <c:v>86</c:v>
                </c:pt>
                <c:pt idx="3">
                  <c:v>24</c:v>
                </c:pt>
                <c:pt idx="4">
                  <c:v>779</c:v>
                </c:pt>
                <c:pt idx="5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E-4452-90E4-9C58D75E93F4}"/>
            </c:ext>
          </c:extLst>
        </c:ser>
        <c:ser>
          <c:idx val="1"/>
          <c:order val="1"/>
          <c:tx>
            <c:strRef>
              <c:f>'All local authorities'!$H$192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153-4F0F-B1F2-B851FCDBA6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153-4F0F-B1F2-B851FCDBA6C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153-4F0F-B1F2-B851FCDBA6C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6153-4F0F-B1F2-B851FCDBA6C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6153-4F0F-B1F2-B851FCDBA6C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6153-4F0F-B1F2-B851FCDBA6C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'All local authorities'!$F$193:$F$198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'All local authorities'!$H$193:$H$198</c:f>
              <c:numCache>
                <c:formatCode>0%</c:formatCode>
                <c:ptCount val="6"/>
                <c:pt idx="0">
                  <c:v>0.58856152512998272</c:v>
                </c:pt>
                <c:pt idx="1">
                  <c:v>3.1195840554592721E-3</c:v>
                </c:pt>
                <c:pt idx="2">
                  <c:v>2.9809358752166379E-2</c:v>
                </c:pt>
                <c:pt idx="3">
                  <c:v>8.3188908145580588E-3</c:v>
                </c:pt>
                <c:pt idx="4">
                  <c:v>0.27001733102253034</c:v>
                </c:pt>
                <c:pt idx="5">
                  <c:v>0.10017331022530329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CE-4452-90E4-9C58D75E93F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236969070931849"/>
          <c:y val="0.24301085011299445"/>
          <c:w val="0.33212977002651367"/>
          <c:h val="0.7064632551694978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West Midlands - Number of family households supported, as at end of quarter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'West Midlands'!$A$11</c:f>
              <c:strCache>
                <c:ptCount val="1"/>
                <c:pt idx="0">
                  <c:v>Number of financially supported households at end of quarter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 Midlands'!$B$10:$E$10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'West Midlands'!$B$11:$E$11</c:f>
              <c:numCache>
                <c:formatCode>General</c:formatCode>
                <c:ptCount val="4"/>
                <c:pt idx="0">
                  <c:v>113</c:v>
                </c:pt>
                <c:pt idx="1">
                  <c:v>104</c:v>
                </c:pt>
                <c:pt idx="2">
                  <c:v>99</c:v>
                </c:pt>
                <c:pt idx="3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3-4879-9BDF-8D8B70D30AC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53798751"/>
        <c:axId val="1853795423"/>
      </c:lineChart>
      <c:catAx>
        <c:axId val="185379875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3795423"/>
        <c:crosses val="autoZero"/>
        <c:auto val="1"/>
        <c:lblAlgn val="ctr"/>
        <c:lblOffset val="100"/>
        <c:noMultiLvlLbl val="0"/>
      </c:catAx>
      <c:valAx>
        <c:axId val="185379542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3798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West Midlands - Number of adult households supported, as at end of quarter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'West Midlands'!$A$34</c:f>
              <c:strCache>
                <c:ptCount val="1"/>
                <c:pt idx="0">
                  <c:v>Number of financially supported households at end of quarter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 Midlands'!$B$33:$E$33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'West Midlands'!$B$34:$E$34</c:f>
              <c:numCache>
                <c:formatCode>General</c:formatCode>
                <c:ptCount val="4"/>
                <c:pt idx="0">
                  <c:v>13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5-4488-BD1E-46DE4109765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2129679"/>
        <c:axId val="142150063"/>
      </c:lineChart>
      <c:catAx>
        <c:axId val="14212967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50063"/>
        <c:crosses val="autoZero"/>
        <c:auto val="1"/>
        <c:lblAlgn val="ctr"/>
        <c:lblOffset val="100"/>
        <c:noMultiLvlLbl val="0"/>
      </c:catAx>
      <c:valAx>
        <c:axId val="142150063"/>
        <c:scaling>
          <c:orientation val="minMax"/>
          <c:max val="16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29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West Midlands - Number of looked after children and care leavers open as at end of quarter 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11390625"/>
          <c:y val="4.1958041958041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'West Midlands'!$A$56</c:f>
              <c:strCache>
                <c:ptCount val="1"/>
                <c:pt idx="0">
                  <c:v>Number of open cases 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 Midlands'!$B$55:$E$55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'West Midlands'!$B$56:$E$56</c:f>
              <c:numCache>
                <c:formatCode>General</c:formatCode>
                <c:ptCount val="4"/>
                <c:pt idx="0">
                  <c:v>61</c:v>
                </c:pt>
                <c:pt idx="1">
                  <c:v>60</c:v>
                </c:pt>
                <c:pt idx="2">
                  <c:v>61</c:v>
                </c:pt>
                <c:pt idx="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1-4026-9C9B-552C2D82C44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61793119"/>
        <c:axId val="161795199"/>
      </c:lineChart>
      <c:catAx>
        <c:axId val="16179311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795199"/>
        <c:crosses val="autoZero"/>
        <c:auto val="1"/>
        <c:lblAlgn val="ctr"/>
        <c:lblOffset val="100"/>
        <c:noMultiLvlLbl val="0"/>
      </c:catAx>
      <c:valAx>
        <c:axId val="16179519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79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West Midlands - Closure reason family cases - all closures in the year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251469885525522E-2"/>
          <c:y val="0.25022494887525565"/>
          <c:w val="0.47313984168865436"/>
          <c:h val="0.73341513292433536"/>
        </c:manualLayout>
      </c:layout>
      <c:pieChart>
        <c:varyColors val="1"/>
        <c:ser>
          <c:idx val="0"/>
          <c:order val="0"/>
          <c:tx>
            <c:strRef>
              <c:f>'West Midlands'!$B$74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D42-4F78-869D-ADF778A579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D42-4F78-869D-ADF778A579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D42-4F78-869D-ADF778A579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ECF-4C28-8D27-FCDE20AEAFE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ECF-4C28-8D27-FCDE20AEAFE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5D42-4F78-869D-ADF778A5796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D42-4F78-869D-ADF778A57966}"/>
              </c:ext>
            </c:extLst>
          </c:dPt>
          <c:dLbls>
            <c:dLbl>
              <c:idx val="0"/>
              <c:layout>
                <c:manualLayout>
                  <c:x val="-2.8946668605738267E-2"/>
                  <c:y val="-4.134450935568557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42-4F78-869D-ADF778A5796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42-4F78-869D-ADF778A5796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42-4F78-869D-ADF778A57966}"/>
                </c:ext>
              </c:extLst>
            </c:dLbl>
            <c:dLbl>
              <c:idx val="5"/>
              <c:layout>
                <c:manualLayout>
                  <c:x val="-3.5602601126046581E-2"/>
                  <c:y val="1.337431208195745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42-4F78-869D-ADF778A57966}"/>
                </c:ext>
              </c:extLst>
            </c:dLbl>
            <c:dLbl>
              <c:idx val="6"/>
              <c:layout>
                <c:manualLayout>
                  <c:x val="5.3228969729707268E-2"/>
                  <c:y val="0.1412181864363728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42-4F78-869D-ADF778A5796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'West Midlands'!$A$75:$A$81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'West Midlands'!$B$75:$B$81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58</c:v>
                </c:pt>
                <c:pt idx="4">
                  <c:v>11</c:v>
                </c:pt>
                <c:pt idx="5">
                  <c:v>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2-4F78-869D-ADF778A57966}"/>
            </c:ext>
          </c:extLst>
        </c:ser>
        <c:ser>
          <c:idx val="1"/>
          <c:order val="1"/>
          <c:tx>
            <c:strRef>
              <c:f>'West Midlands'!$C$74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ECF-4C28-8D27-FCDE20AEAF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ECF-4C28-8D27-FCDE20AEAF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1ECF-4C28-8D27-FCDE20AEAF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1ECF-4C28-8D27-FCDE20AEAFE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ECF-4C28-8D27-FCDE20AEAFE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1ECF-4C28-8D27-FCDE20AEAFE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1ECF-4C28-8D27-FCDE20AEAFE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'West Midlands'!$A$75:$A$81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'West Midlands'!$C$75:$C$81</c:f>
              <c:numCache>
                <c:formatCode>0%</c:formatCode>
                <c:ptCount val="7"/>
                <c:pt idx="0">
                  <c:v>1.2195121951219513E-2</c:v>
                </c:pt>
                <c:pt idx="1">
                  <c:v>0</c:v>
                </c:pt>
                <c:pt idx="2">
                  <c:v>0</c:v>
                </c:pt>
                <c:pt idx="3">
                  <c:v>0.70731707317073167</c:v>
                </c:pt>
                <c:pt idx="4">
                  <c:v>0.14000000000000001</c:v>
                </c:pt>
                <c:pt idx="5">
                  <c:v>1.2195121951219513E-2</c:v>
                </c:pt>
                <c:pt idx="6">
                  <c:v>0.13414634146341464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42-4F78-869D-ADF778A5796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West Midlands - Closure reason adult cases - all closures in the year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'West Midlands'!$B$95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3E-432D-B159-D8737E63DB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C3E-432D-B159-D8737E63DB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3E-432D-B159-D8737E63DB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B26-4BA7-9809-CCA01DFCDFE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B26-4BA7-9809-CCA01DFCDFE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C3E-432D-B159-D8737E63DB1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3E-432D-B159-D8737E63DB1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3E-432D-B159-D8737E63DB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3E-432D-B159-D8737E63DB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3E-432D-B159-D8737E63DB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3E-432D-B159-D8737E63DB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3E-432D-B159-D8737E63DB1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'West Midlands'!$A$96:$A$102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'West Midlands'!$B$96:$B$102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E-432D-B159-D8737E63DB11}"/>
            </c:ext>
          </c:extLst>
        </c:ser>
        <c:ser>
          <c:idx val="1"/>
          <c:order val="1"/>
          <c:tx>
            <c:strRef>
              <c:f>'West Midlands'!$C$95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B26-4BA7-9809-CCA01DFCDF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B26-4BA7-9809-CCA01DFCDF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B26-4BA7-9809-CCA01DFCDFE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B26-4BA7-9809-CCA01DFCDFE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B26-4BA7-9809-CCA01DFCDFE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B26-4BA7-9809-CCA01DFCDFE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B26-4BA7-9809-CCA01DFCDFE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'West Midlands'!$A$96:$A$102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'West Midlands'!$C$96:$C$102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  <c:pt idx="4">
                  <c:v>0.66666666666666663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3E-432D-B159-D8737E63DB1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West Midlands - Immigration status, family households financially supported 31 March 2022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'West Midlands'!$G$117</c:f>
              <c:strCache>
                <c:ptCount val="1"/>
                <c:pt idx="0">
                  <c:v>Number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688-4CDF-BCD1-8CBCD5E7A1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688-4CDF-BCD1-8CBCD5E7A1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688-4CDF-BCD1-8CBCD5E7A1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688-4CDF-BCD1-8CBCD5E7A1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688-4CDF-BCD1-8CBCD5E7A18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'West Midlands'!$F$118:$F$122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'West Midlands'!$G$118:$G$122</c:f>
              <c:numCache>
                <c:formatCode>General</c:formatCode>
                <c:ptCount val="5"/>
                <c:pt idx="0">
                  <c:v>19</c:v>
                </c:pt>
                <c:pt idx="1">
                  <c:v>9</c:v>
                </c:pt>
                <c:pt idx="2">
                  <c:v>8</c:v>
                </c:pt>
                <c:pt idx="3">
                  <c:v>14</c:v>
                </c:pt>
                <c:pt idx="4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12-4282-9087-A90279B69C22}"/>
            </c:ext>
          </c:extLst>
        </c:ser>
        <c:ser>
          <c:idx val="1"/>
          <c:order val="1"/>
          <c:tx>
            <c:strRef>
              <c:f>'West Midlands'!$H$117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688-4CDF-BCD1-8CBCD5E7A1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688-4CDF-BCD1-8CBCD5E7A1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688-4CDF-BCD1-8CBCD5E7A1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688-4CDF-BCD1-8CBCD5E7A1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F688-4CDF-BCD1-8CBCD5E7A18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'West Midlands'!$F$118:$F$122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'West Midlands'!$H$118:$H$122</c:f>
              <c:numCache>
                <c:formatCode>0%</c:formatCode>
                <c:ptCount val="5"/>
                <c:pt idx="0">
                  <c:v>0.19791666666666666</c:v>
                </c:pt>
                <c:pt idx="1">
                  <c:v>9.375E-2</c:v>
                </c:pt>
                <c:pt idx="2">
                  <c:v>8.3333333333333329E-2</c:v>
                </c:pt>
                <c:pt idx="3">
                  <c:v>0.14583333333333334</c:v>
                </c:pt>
                <c:pt idx="4">
                  <c:v>0.47916666666666669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12-4282-9087-A90279B69C2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West Midlands - Immigration status, adult households financially supported 31 March 2022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'West Midlands'!$G$144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57-4825-8E26-100582F044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57-4825-8E26-100582F044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457-4825-8E26-100582F044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457-4825-8E26-100582F044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457-4825-8E26-100582F044F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'West Midlands'!$F$145:$F$149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'West Midlands'!$G$145:$G$149</c:f>
              <c:numCache>
                <c:formatCode>General</c:formatCode>
                <c:ptCount val="5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0-43BA-8849-D2E1FE0A1DFB}"/>
            </c:ext>
          </c:extLst>
        </c:ser>
        <c:ser>
          <c:idx val="1"/>
          <c:order val="1"/>
          <c:tx>
            <c:strRef>
              <c:f>'West Midlands'!$H$144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457-4825-8E26-100582F044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457-4825-8E26-100582F044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457-4825-8E26-100582F044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457-4825-8E26-100582F044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B457-4825-8E26-100582F044F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'West Midlands'!$F$145:$F$149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'West Midlands'!$H$145:$H$149</c:f>
              <c:numCache>
                <c:formatCode>0%</c:formatCode>
                <c:ptCount val="5"/>
                <c:pt idx="0">
                  <c:v>0.22</c:v>
                </c:pt>
                <c:pt idx="1">
                  <c:v>0.35714285714285715</c:v>
                </c:pt>
                <c:pt idx="2">
                  <c:v>0.14285714285714285</c:v>
                </c:pt>
                <c:pt idx="3">
                  <c:v>7.1428571428571425E-2</c:v>
                </c:pt>
                <c:pt idx="4">
                  <c:v>0.21428571428571427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80-43BA-8849-D2E1FE0A1DF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West Midlands - Immigration status, looked after children and care leavers, open 31 March 2022  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'West Midlands'!$G$172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EE7-46F3-8051-D46B45C628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93B-42D8-AC7B-83DE7804A5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93B-42D8-AC7B-83DE7804A5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EE7-46F3-8051-D46B45C628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EE7-46F3-8051-D46B45C6289C}"/>
              </c:ext>
            </c:extLst>
          </c:dPt>
          <c:dLbls>
            <c:dLbl>
              <c:idx val="1"/>
              <c:layout>
                <c:manualLayout>
                  <c:x val="7.1830447586624588E-2"/>
                  <c:y val="-5.23850204998884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3B-42D8-AC7B-83DE7804A5E4}"/>
                </c:ext>
              </c:extLst>
            </c:dLbl>
            <c:dLbl>
              <c:idx val="2"/>
              <c:layout>
                <c:manualLayout>
                  <c:x val="-6.957121076046109E-4"/>
                  <c:y val="1.004751856998267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3B-42D8-AC7B-83DE7804A5E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'West Midlands'!$F$173:$F$177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'West Midlands'!$G$173:$G$177</c:f>
              <c:numCache>
                <c:formatCode>General</c:formatCode>
                <c:ptCount val="5"/>
                <c:pt idx="0">
                  <c:v>43</c:v>
                </c:pt>
                <c:pt idx="1">
                  <c:v>3</c:v>
                </c:pt>
                <c:pt idx="2">
                  <c:v>2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B-42D8-AC7B-83DE7804A5E4}"/>
            </c:ext>
          </c:extLst>
        </c:ser>
        <c:ser>
          <c:idx val="1"/>
          <c:order val="1"/>
          <c:tx>
            <c:strRef>
              <c:f>'West Midlands'!$H$172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EE7-46F3-8051-D46B45C628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EE7-46F3-8051-D46B45C628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EE7-46F3-8051-D46B45C628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EE7-46F3-8051-D46B45C628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EE7-46F3-8051-D46B45C6289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'West Midlands'!$F$173:$F$177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'West Midlands'!$H$173:$H$177</c:f>
              <c:numCache>
                <c:formatCode>0%</c:formatCode>
                <c:ptCount val="5"/>
                <c:pt idx="0">
                  <c:v>0.64179104477611937</c:v>
                </c:pt>
                <c:pt idx="1">
                  <c:v>0.05</c:v>
                </c:pt>
                <c:pt idx="2">
                  <c:v>2.9850746268656716E-2</c:v>
                </c:pt>
                <c:pt idx="3">
                  <c:v>0.14925373134328357</c:v>
                </c:pt>
                <c:pt idx="4">
                  <c:v>0.13432835820895522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3B-42D8-AC7B-83DE7804A5E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West Midlands - Immigration status, family households referred  2021-2022 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'West Midlands'!$G$201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835-4FB4-90B2-7350ECA94D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835-4FB4-90B2-7350ECA94D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2B-432F-BF1C-56743DF6F08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82B-432F-BF1C-56743DF6F08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82B-432F-BF1C-56743DF6F08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82B-432F-BF1C-56743DF6F08E}"/>
              </c:ext>
            </c:extLst>
          </c:dPt>
          <c:dLbls>
            <c:dLbl>
              <c:idx val="0"/>
              <c:layout>
                <c:manualLayout>
                  <c:x val="-3.32739989948065E-2"/>
                  <c:y val="0.113195119840789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35-4FB4-90B2-7350ECA94DFD}"/>
                </c:ext>
              </c:extLst>
            </c:dLbl>
            <c:dLbl>
              <c:idx val="1"/>
              <c:layout>
                <c:manualLayout>
                  <c:x val="3.0565630758920995E-2"/>
                  <c:y val="1.928112832049837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35-4FB4-90B2-7350ECA94DF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'West Midlands'!$F$202:$F$207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'West Midlands'!$G$202:$G$207</c:f>
              <c:numCache>
                <c:formatCode>General</c:formatCode>
                <c:ptCount val="6"/>
                <c:pt idx="0">
                  <c:v>16</c:v>
                </c:pt>
                <c:pt idx="1">
                  <c:v>2</c:v>
                </c:pt>
                <c:pt idx="2">
                  <c:v>50</c:v>
                </c:pt>
                <c:pt idx="3">
                  <c:v>56</c:v>
                </c:pt>
                <c:pt idx="4">
                  <c:v>62</c:v>
                </c:pt>
                <c:pt idx="5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5-4FB4-90B2-7350ECA94DFD}"/>
            </c:ext>
          </c:extLst>
        </c:ser>
        <c:ser>
          <c:idx val="1"/>
          <c:order val="1"/>
          <c:tx>
            <c:strRef>
              <c:f>'West Midlands'!$H$201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82B-432F-BF1C-56743DF6F0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82B-432F-BF1C-56743DF6F0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82B-432F-BF1C-56743DF6F08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B82B-432F-BF1C-56743DF6F08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B82B-432F-BF1C-56743DF6F08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B82B-432F-BF1C-56743DF6F08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'West Midlands'!$F$202:$F$207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'West Midlands'!$H$202:$H$207</c:f>
              <c:numCache>
                <c:formatCode>0%</c:formatCode>
                <c:ptCount val="6"/>
                <c:pt idx="0">
                  <c:v>6.4777327935222673E-2</c:v>
                </c:pt>
                <c:pt idx="1">
                  <c:v>8.0971659919028341E-3</c:v>
                </c:pt>
                <c:pt idx="2">
                  <c:v>0.20242914979757085</c:v>
                </c:pt>
                <c:pt idx="3">
                  <c:v>0.22672064777327935</c:v>
                </c:pt>
                <c:pt idx="4">
                  <c:v>0.25101214574898784</c:v>
                </c:pt>
                <c:pt idx="5">
                  <c:v>0.24696356275303644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5-4FB4-90B2-7350ECA94DF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West Midlands - Immigration status, adult households referred  2021-2022  </a:t>
            </a:r>
            <a:r>
              <a:rPr lang="en-GB" sz="1400" b="1" i="0" baseline="0">
                <a:effectLst/>
              </a:rPr>
              <a:t> </a:t>
            </a:r>
            <a:r>
              <a:rPr lang="en-US" sz="1400" b="1" i="0" baseline="0">
                <a:effectLst/>
              </a:rPr>
              <a:t>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'West Midlands'!$G$231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14E-42CF-96DC-782F1D0E0A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9ED-483D-B4E0-8EC1409D81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14E-42CF-96DC-782F1D0E0A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14E-42CF-96DC-782F1D0E0A2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14E-42CF-96DC-782F1D0E0A2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14E-42CF-96DC-782F1D0E0A29}"/>
              </c:ext>
            </c:extLst>
          </c:dPt>
          <c:dLbls>
            <c:dLbl>
              <c:idx val="1"/>
              <c:layout>
                <c:manualLayout>
                  <c:x val="8.9850070111099131E-4"/>
                  <c:y val="2.619548923999371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ED-483D-B4E0-8EC1409D816B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'West Midlands'!$F$232:$F$237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'West Midlands'!$G$232:$G$237</c:f>
              <c:numCache>
                <c:formatCode>General</c:formatCode>
                <c:ptCount val="6"/>
                <c:pt idx="0">
                  <c:v>41</c:v>
                </c:pt>
                <c:pt idx="1">
                  <c:v>3</c:v>
                </c:pt>
                <c:pt idx="2">
                  <c:v>39</c:v>
                </c:pt>
                <c:pt idx="3">
                  <c:v>12</c:v>
                </c:pt>
                <c:pt idx="4">
                  <c:v>21</c:v>
                </c:pt>
                <c:pt idx="5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ED-483D-B4E0-8EC1409D816B}"/>
            </c:ext>
          </c:extLst>
        </c:ser>
        <c:ser>
          <c:idx val="1"/>
          <c:order val="1"/>
          <c:tx>
            <c:strRef>
              <c:f>'West Midlands'!$H$231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14E-42CF-96DC-782F1D0E0A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14E-42CF-96DC-782F1D0E0A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14E-42CF-96DC-782F1D0E0A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B14E-42CF-96DC-782F1D0E0A2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B14E-42CF-96DC-782F1D0E0A2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B14E-42CF-96DC-782F1D0E0A2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'West Midlands'!$F$232:$F$237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'West Midlands'!$H$232:$H$237</c:f>
              <c:numCache>
                <c:formatCode>0%</c:formatCode>
                <c:ptCount val="6"/>
                <c:pt idx="0">
                  <c:v>0.23563218390804597</c:v>
                </c:pt>
                <c:pt idx="1">
                  <c:v>1.7241379310344827E-2</c:v>
                </c:pt>
                <c:pt idx="2">
                  <c:v>0.22413793103448276</c:v>
                </c:pt>
                <c:pt idx="3">
                  <c:v>6.8965517241379309E-2</c:v>
                </c:pt>
                <c:pt idx="4">
                  <c:v>0.1206896551724138</c:v>
                </c:pt>
                <c:pt idx="5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ED-483D-B4E0-8EC1409D816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Immigration status, family households referred  2021-2022, all local authorities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'All local authorities'!$G$232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F1F-4D27-BC61-CA728502ED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F1F-4D27-BC61-CA728502ED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FB9-4F23-A3C4-15A7ADFAF2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FB9-4F23-A3C4-15A7ADFAF2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FB9-4F23-A3C4-15A7ADFAF2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FB9-4F23-A3C4-15A7ADFAF263}"/>
              </c:ext>
            </c:extLst>
          </c:dPt>
          <c:dLbls>
            <c:dLbl>
              <c:idx val="0"/>
              <c:layout>
                <c:manualLayout>
                  <c:x val="-7.2036314308024915E-2"/>
                  <c:y val="0.1471841628258421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1F-4D27-BC61-CA728502ED3B}"/>
                </c:ext>
              </c:extLst>
            </c:dLbl>
            <c:dLbl>
              <c:idx val="1"/>
              <c:layout>
                <c:manualLayout>
                  <c:x val="3.3592521165450091E-2"/>
                  <c:y val="-2.51640535903411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F1F-4D27-BC61-CA728502ED3B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'All local authorities'!$F$233:$F$238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'All local authorities'!$G$233:$G$238</c:f>
              <c:numCache>
                <c:formatCode>General</c:formatCode>
                <c:ptCount val="6"/>
                <c:pt idx="0">
                  <c:v>325</c:v>
                </c:pt>
                <c:pt idx="1">
                  <c:v>45</c:v>
                </c:pt>
                <c:pt idx="2" formatCode="0">
                  <c:v>706</c:v>
                </c:pt>
                <c:pt idx="3">
                  <c:v>517</c:v>
                </c:pt>
                <c:pt idx="4">
                  <c:v>621</c:v>
                </c:pt>
                <c:pt idx="5">
                  <c:v>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F-4D27-BC61-CA728502ED3B}"/>
            </c:ext>
          </c:extLst>
        </c:ser>
        <c:ser>
          <c:idx val="1"/>
          <c:order val="1"/>
          <c:tx>
            <c:strRef>
              <c:f>'All local authorities'!$H$232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FB9-4F23-A3C4-15A7ADFAF2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FB9-4F23-A3C4-15A7ADFAF2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FB9-4F23-A3C4-15A7ADFAF2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5FB9-4F23-A3C4-15A7ADFAF2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5FB9-4F23-A3C4-15A7ADFAF2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5FB9-4F23-A3C4-15A7ADFAF26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'All local authorities'!$F$233:$F$238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'All local authorities'!$H$233:$H$238</c:f>
              <c:numCache>
                <c:formatCode>0%</c:formatCode>
                <c:ptCount val="6"/>
                <c:pt idx="0">
                  <c:v>0.11316155988857939</c:v>
                </c:pt>
                <c:pt idx="1">
                  <c:v>1.5668523676880222E-2</c:v>
                </c:pt>
                <c:pt idx="2">
                  <c:v>0.24582172701949861</c:v>
                </c:pt>
                <c:pt idx="3">
                  <c:v>0.18001392757660167</c:v>
                </c:pt>
                <c:pt idx="4">
                  <c:v>0.21622562674094709</c:v>
                </c:pt>
                <c:pt idx="5">
                  <c:v>0.22910863509749305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1F-4D27-BC61-CA728502ED3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11659717574777"/>
          <c:y val="0.21503065941577021"/>
          <c:w val="0.33141616748295916"/>
          <c:h val="0.7360440822983076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Yorkshire &amp; Humber - Number of family households supported, as at end of quarter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'Yorkshire &amp; Humber'!$A$11</c:f>
              <c:strCache>
                <c:ptCount val="1"/>
                <c:pt idx="0">
                  <c:v>Number of financially supported households at end of quarter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'Yorkshire &amp; Humber'!$B$10:$E$10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'Yorkshire &amp; Humber'!$B$11:$E$11</c:f>
              <c:numCache>
                <c:formatCode>General</c:formatCode>
                <c:ptCount val="4"/>
                <c:pt idx="0">
                  <c:v>113</c:v>
                </c:pt>
                <c:pt idx="1">
                  <c:v>125</c:v>
                </c:pt>
                <c:pt idx="2">
                  <c:v>143</c:v>
                </c:pt>
                <c:pt idx="3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F-4CC0-A139-66E7C168F25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77416831"/>
        <c:axId val="377421407"/>
      </c:lineChart>
      <c:catAx>
        <c:axId val="37741683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421407"/>
        <c:crosses val="autoZero"/>
        <c:auto val="1"/>
        <c:lblAlgn val="ctr"/>
        <c:lblOffset val="100"/>
        <c:noMultiLvlLbl val="0"/>
      </c:catAx>
      <c:valAx>
        <c:axId val="37742140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416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cap="none" baseline="0">
                <a:effectLst/>
              </a:rPr>
              <a:t>Yorkshire &amp; Humber </a:t>
            </a:r>
            <a:r>
              <a:rPr lang="en-US" sz="1400" b="1" i="0" baseline="0">
                <a:effectLst/>
              </a:rPr>
              <a:t>- Number of adult households supported, as at end of quarter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'Yorkshire &amp; Humber'!$A$34</c:f>
              <c:strCache>
                <c:ptCount val="1"/>
                <c:pt idx="0">
                  <c:v>Number of financially supported households at end of quarter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'Yorkshire &amp; Humber'!$B$33:$E$33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'Yorkshire &amp; Humber'!$B$34:$E$34</c:f>
              <c:numCache>
                <c:formatCode>General</c:formatCode>
                <c:ptCount val="4"/>
                <c:pt idx="0">
                  <c:v>44</c:v>
                </c:pt>
                <c:pt idx="1">
                  <c:v>57</c:v>
                </c:pt>
                <c:pt idx="2">
                  <c:v>49</c:v>
                </c:pt>
                <c:pt idx="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5-41EA-9343-C253C7CF32C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69369087"/>
        <c:axId val="1769373247"/>
      </c:lineChart>
      <c:catAx>
        <c:axId val="1769369087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9373247"/>
        <c:crosses val="autoZero"/>
        <c:auto val="1"/>
        <c:lblAlgn val="ctr"/>
        <c:lblOffset val="100"/>
        <c:noMultiLvlLbl val="0"/>
      </c:catAx>
      <c:valAx>
        <c:axId val="176937324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9369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cap="none" baseline="0">
                <a:effectLst/>
              </a:rPr>
              <a:t>Yorkshire &amp; Humber </a:t>
            </a:r>
            <a:r>
              <a:rPr lang="en-US" sz="1400" b="1" i="0" baseline="0">
                <a:effectLst/>
              </a:rPr>
              <a:t>- Number of looked after children and care leavers open as at end of quarter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'Yorkshire &amp; Humber'!$A$56</c:f>
              <c:strCache>
                <c:ptCount val="1"/>
                <c:pt idx="0">
                  <c:v>Number of open cases 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'Yorkshire &amp; Humber'!$B$55:$E$55</c:f>
              <c:strCache>
                <c:ptCount val="4"/>
                <c:pt idx="0">
                  <c:v>Q1 21/22</c:v>
                </c:pt>
                <c:pt idx="1">
                  <c:v>Q2 21/22</c:v>
                </c:pt>
                <c:pt idx="2">
                  <c:v>Q3 21/22</c:v>
                </c:pt>
                <c:pt idx="3">
                  <c:v>Q4 21/22</c:v>
                </c:pt>
              </c:strCache>
            </c:strRef>
          </c:cat>
          <c:val>
            <c:numRef>
              <c:f>'Yorkshire &amp; Humber'!$B$56:$E$56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8-4FC2-ABEC-07C33D32354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68452031"/>
        <c:axId val="1768452863"/>
      </c:lineChart>
      <c:catAx>
        <c:axId val="176845203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452863"/>
        <c:crosses val="autoZero"/>
        <c:auto val="1"/>
        <c:lblAlgn val="ctr"/>
        <c:lblOffset val="100"/>
        <c:noMultiLvlLbl val="0"/>
      </c:catAx>
      <c:valAx>
        <c:axId val="176845286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45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Yorkshire &amp; Humber </a:t>
            </a:r>
            <a:r>
              <a:rPr lang="en-US" sz="1400" b="1" i="0" baseline="0">
                <a:effectLst/>
              </a:rPr>
              <a:t>- Closure reason family cases - all closures in the year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'Yorkshire &amp; Humber'!$B$75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834-4FFD-9C16-D42CF424B5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834-4FFD-9C16-D42CF424B5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834-4FFD-9C16-D42CF424B5C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B60-4249-A968-BDB3CF61BB7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2834-4FFD-9C16-D42CF424B5C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834-4FFD-9C16-D42CF424B5C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B60-4249-A968-BDB3CF61BB76}"/>
              </c:ext>
            </c:extLst>
          </c:dPt>
          <c:dLbls>
            <c:dLbl>
              <c:idx val="0"/>
              <c:layout>
                <c:manualLayout>
                  <c:x val="-3.9102902374670234E-2"/>
                  <c:y val="0.1082081063077527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34-4FFD-9C16-D42CF424B5C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34-4FFD-9C16-D42CF424B5C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34-4FFD-9C16-D42CF424B5CB}"/>
                </c:ext>
              </c:extLst>
            </c:dLbl>
            <c:dLbl>
              <c:idx val="4"/>
              <c:layout>
                <c:manualLayout>
                  <c:x val="8.6397689734693431E-2"/>
                  <c:y val="-5.229644559072198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34-4FFD-9C16-D42CF424B5CB}"/>
                </c:ext>
              </c:extLst>
            </c:dLbl>
            <c:dLbl>
              <c:idx val="5"/>
              <c:layout>
                <c:manualLayout>
                  <c:x val="-1.8219516755656202E-2"/>
                  <c:y val="1.137001041897954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34-4FFD-9C16-D42CF424B5CB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'Yorkshire &amp; Humber'!$A$76:$A$82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'Yorkshire &amp; Humber'!$B$76:$B$82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48</c:v>
                </c:pt>
                <c:pt idx="4">
                  <c:v>7</c:v>
                </c:pt>
                <c:pt idx="5">
                  <c:v>2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4-4FFD-9C16-D42CF424B5CB}"/>
            </c:ext>
          </c:extLst>
        </c:ser>
        <c:ser>
          <c:idx val="1"/>
          <c:order val="1"/>
          <c:tx>
            <c:strRef>
              <c:f>'Yorkshire &amp; Humber'!$C$75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B60-4249-A968-BDB3CF61BB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B60-4249-A968-BDB3CF61BB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FB60-4249-A968-BDB3CF61BB7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FB60-4249-A968-BDB3CF61BB7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FB60-4249-A968-BDB3CF61BB7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FB60-4249-A968-BDB3CF61BB7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FB60-4249-A968-BDB3CF61BB7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'Yorkshire &amp; Humber'!$A$76:$A$82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'Yorkshire &amp; Humber'!$C$76:$C$82</c:f>
              <c:numCache>
                <c:formatCode>0%</c:formatCode>
                <c:ptCount val="7"/>
                <c:pt idx="0">
                  <c:v>7.6923076923076927E-2</c:v>
                </c:pt>
                <c:pt idx="1">
                  <c:v>0</c:v>
                </c:pt>
                <c:pt idx="2">
                  <c:v>0</c:v>
                </c:pt>
                <c:pt idx="3">
                  <c:v>0.61</c:v>
                </c:pt>
                <c:pt idx="4">
                  <c:v>8.9743589743589744E-2</c:v>
                </c:pt>
                <c:pt idx="5">
                  <c:v>2.564102564102564E-2</c:v>
                </c:pt>
                <c:pt idx="6">
                  <c:v>0.19230769230769232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34-4FFD-9C16-D42CF424B5C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092235571069079"/>
          <c:y val="0.17991353377278779"/>
          <c:w val="0.33361372676353601"/>
          <c:h val="0.7578347278615223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Yorkshire &amp; Humber - </a:t>
            </a:r>
            <a:r>
              <a:rPr lang="en-US" sz="1400" b="1" i="0" baseline="0">
                <a:effectLst/>
              </a:rPr>
              <a:t>Closure reason adult cases - all closures in the year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'Yorkshire &amp; Humber'!$B$96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40F-46E9-894B-AC269FBCA5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340F-46E9-894B-AC269FBCA5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40F-46E9-894B-AC269FBCA5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4C5-45E0-8A3D-5E7C9490E9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40F-46E9-894B-AC269FBCA5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340F-46E9-894B-AC269FBCA5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4C5-45E0-8A3D-5E7C9490E92D}"/>
              </c:ext>
            </c:extLst>
          </c:dPt>
          <c:dLbls>
            <c:dLbl>
              <c:idx val="0"/>
              <c:layout>
                <c:manualLayout>
                  <c:x val="0.10582309983272817"/>
                  <c:y val="3.089474462873765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0F-46E9-894B-AC269FBCA52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0F-46E9-894B-AC269FBCA52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0F-46E9-894B-AC269FBCA52F}"/>
                </c:ext>
              </c:extLst>
            </c:dLbl>
            <c:dLbl>
              <c:idx val="4"/>
              <c:layout>
                <c:manualLayout>
                  <c:x val="-1.0199502264289502E-6"/>
                  <c:y val="-0.1128555224960136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0F-46E9-894B-AC269FBCA52F}"/>
                </c:ext>
              </c:extLst>
            </c:dLbl>
            <c:dLbl>
              <c:idx val="5"/>
              <c:layout>
                <c:manualLayout>
                  <c:x val="5.2737954387825872E-2"/>
                  <c:y val="-0.1195709565531865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0F-46E9-894B-AC269FBCA52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'Yorkshire &amp; Humber'!$A$97:$A$103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'Yorkshire &amp; Humber'!$B$97:$B$103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37</c:v>
                </c:pt>
                <c:pt idx="4">
                  <c:v>8</c:v>
                </c:pt>
                <c:pt idx="5">
                  <c:v>5</c:v>
                </c:pt>
                <c:pt idx="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0F-46E9-894B-AC269FBCA52F}"/>
            </c:ext>
          </c:extLst>
        </c:ser>
        <c:ser>
          <c:idx val="1"/>
          <c:order val="1"/>
          <c:tx>
            <c:strRef>
              <c:f>'Yorkshire &amp; Humber'!$C$96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4C5-45E0-8A3D-5E7C9490E9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4C5-45E0-8A3D-5E7C9490E9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4C5-45E0-8A3D-5E7C9490E9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4C5-45E0-8A3D-5E7C9490E9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4C5-45E0-8A3D-5E7C9490E9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4C5-45E0-8A3D-5E7C9490E9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4C5-45E0-8A3D-5E7C9490E92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'Yorkshire &amp; Humber'!$A$97:$A$103</c:f>
              <c:strCache>
                <c:ptCount val="7"/>
                <c:pt idx="0">
                  <c:v>Accessed Asylum Support</c:v>
                </c:pt>
                <c:pt idx="1">
                  <c:v>Deceased</c:v>
                </c:pt>
                <c:pt idx="2">
                  <c:v>Detained / imprisoned</c:v>
                </c:pt>
                <c:pt idx="3">
                  <c:v>Granted Leave to Remain</c:v>
                </c:pt>
                <c:pt idx="4">
                  <c:v>Granted Leave to Remain - EEA status</c:v>
                </c:pt>
                <c:pt idx="5">
                  <c:v>Left the UK (including HO / LA funding) </c:v>
                </c:pt>
                <c:pt idx="6">
                  <c:v>No longer eligible</c:v>
                </c:pt>
              </c:strCache>
            </c:strRef>
          </c:cat>
          <c:val>
            <c:numRef>
              <c:f>'Yorkshire &amp; Humber'!$C$97:$C$103</c:f>
              <c:numCache>
                <c:formatCode>0%</c:formatCode>
                <c:ptCount val="7"/>
                <c:pt idx="0">
                  <c:v>3.4090909090909088E-2</c:v>
                </c:pt>
                <c:pt idx="1">
                  <c:v>0</c:v>
                </c:pt>
                <c:pt idx="2">
                  <c:v>0</c:v>
                </c:pt>
                <c:pt idx="3">
                  <c:v>0.42045454545454547</c:v>
                </c:pt>
                <c:pt idx="4">
                  <c:v>9.0909090909090912E-2</c:v>
                </c:pt>
                <c:pt idx="5">
                  <c:v>5.6818181818181816E-2</c:v>
                </c:pt>
                <c:pt idx="6">
                  <c:v>0.39772727272727271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0F-46E9-894B-AC269FBCA52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911366325323328"/>
          <c:y val="0.20213965561997058"/>
          <c:w val="0.33534229529598958"/>
          <c:h val="0.7538523838366357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Yorkshire &amp; Humber - </a:t>
            </a:r>
            <a:r>
              <a:rPr lang="en-US" sz="1400" b="1" i="0" baseline="0">
                <a:effectLst/>
              </a:rPr>
              <a:t>Immigration status, family households financially supported 31 March 2022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'Yorkshire &amp; Humber'!$G$117</c:f>
              <c:strCache>
                <c:ptCount val="1"/>
                <c:pt idx="0">
                  <c:v>Number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CFA-4D0A-8965-C2BEE4E799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A8-4C00-931A-6D300B374F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CFA-4D0A-8965-C2BEE4E799E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5A8-4C00-931A-6D300B374FB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CFA-4D0A-8965-C2BEE4E799E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CFA-4D0A-8965-C2BEE4E799E1}"/>
              </c:ext>
            </c:extLst>
          </c:dPt>
          <c:dLbls>
            <c:dLbl>
              <c:idx val="1"/>
              <c:layout>
                <c:manualLayout>
                  <c:x val="1.9187965809086698E-2"/>
                  <c:y val="1.273369249896394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A8-4C00-931A-6D300B374FBF}"/>
                </c:ext>
              </c:extLst>
            </c:dLbl>
            <c:dLbl>
              <c:idx val="3"/>
              <c:layout>
                <c:manualLayout>
                  <c:x val="4.7461156259210865E-2"/>
                  <c:y val="-0.1408308329879817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A8-4C00-931A-6D300B374FB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'Yorkshire &amp; Humber'!$F$118:$F$123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'Yorkshire &amp; Humber'!$G$118:$G$123</c:f>
              <c:numCache>
                <c:formatCode>General</c:formatCode>
                <c:ptCount val="6"/>
                <c:pt idx="0">
                  <c:v>23</c:v>
                </c:pt>
                <c:pt idx="1">
                  <c:v>3</c:v>
                </c:pt>
                <c:pt idx="2">
                  <c:v>38</c:v>
                </c:pt>
                <c:pt idx="3">
                  <c:v>14</c:v>
                </c:pt>
                <c:pt idx="4">
                  <c:v>27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8-4C00-931A-6D300B374FBF}"/>
            </c:ext>
          </c:extLst>
        </c:ser>
        <c:ser>
          <c:idx val="1"/>
          <c:order val="1"/>
          <c:tx>
            <c:strRef>
              <c:f>'Yorkshire &amp; Humber'!$H$117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CFA-4D0A-8965-C2BEE4E799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CFA-4D0A-8965-C2BEE4E799E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CFA-4D0A-8965-C2BEE4E799E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2CFA-4D0A-8965-C2BEE4E799E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2CFA-4D0A-8965-C2BEE4E799E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2CFA-4D0A-8965-C2BEE4E799E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'Yorkshire &amp; Humber'!$F$118:$F$123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'Yorkshire &amp; Humber'!$H$118:$H$123</c:f>
              <c:numCache>
                <c:formatCode>0%</c:formatCode>
                <c:ptCount val="6"/>
                <c:pt idx="0">
                  <c:v>0.17293233082706766</c:v>
                </c:pt>
                <c:pt idx="1">
                  <c:v>2.2556390977443608E-2</c:v>
                </c:pt>
                <c:pt idx="2">
                  <c:v>0.2857142857142857</c:v>
                </c:pt>
                <c:pt idx="3">
                  <c:v>0.10526315789473684</c:v>
                </c:pt>
                <c:pt idx="4">
                  <c:v>0.20300751879699247</c:v>
                </c:pt>
                <c:pt idx="5">
                  <c:v>0.21052631578947367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A8-4C00-931A-6D300B374FB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Yorkshire &amp; Humber - </a:t>
            </a:r>
            <a:r>
              <a:rPr lang="en-US" sz="1400" b="1" i="0" baseline="0">
                <a:effectLst/>
              </a:rPr>
              <a:t>Immigration status, adult households financially supported 31 March 2022 </a:t>
            </a:r>
            <a:r>
              <a:rPr lang="en-US" sz="140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'Yorkshire &amp; Humber'!$G$147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16-42D3-935D-577155383C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12E-4749-B43D-D77356A388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16-42D3-935D-577155383C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16-42D3-935D-577155383C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16-42D3-935D-577155383C6D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21%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12E-4749-B43D-D77356A3884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'Yorkshire &amp; Humber'!$F$148:$F$152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'Yorkshire &amp; Humber'!$G$148:$G$152</c:f>
              <c:numCache>
                <c:formatCode>General</c:formatCode>
                <c:ptCount val="5"/>
                <c:pt idx="0">
                  <c:v>11</c:v>
                </c:pt>
                <c:pt idx="1">
                  <c:v>8</c:v>
                </c:pt>
                <c:pt idx="2">
                  <c:v>8</c:v>
                </c:pt>
                <c:pt idx="3">
                  <c:v>4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E-4749-B43D-D77356A3884C}"/>
            </c:ext>
          </c:extLst>
        </c:ser>
        <c:ser>
          <c:idx val="1"/>
          <c:order val="1"/>
          <c:tx>
            <c:strRef>
              <c:f>'Yorkshire &amp; Humber'!$H$147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16-42D3-935D-577155383C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16-42D3-935D-577155383C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516-42D3-935D-577155383C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516-42D3-935D-577155383C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516-42D3-935D-577155383C6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'Yorkshire &amp; Humber'!$F$148:$F$152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'Yorkshire &amp; Humber'!$H$148:$H$152</c:f>
              <c:numCache>
                <c:formatCode>0%</c:formatCode>
                <c:ptCount val="5"/>
                <c:pt idx="0">
                  <c:v>0.28205128205128205</c:v>
                </c:pt>
                <c:pt idx="1">
                  <c:v>0.20512820512820512</c:v>
                </c:pt>
                <c:pt idx="2">
                  <c:v>0.20512820512820512</c:v>
                </c:pt>
                <c:pt idx="3">
                  <c:v>0.10256410256410256</c:v>
                </c:pt>
                <c:pt idx="4">
                  <c:v>0.20512820512820512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2E-4749-B43D-D77356A3884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847236100563566"/>
          <c:y val="0.27357936875537614"/>
          <c:w val="0.3262992125984252"/>
          <c:h val="0.683828492026731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Yorkshire &amp; Humber - </a:t>
            </a:r>
            <a:r>
              <a:rPr lang="en-US" sz="1400" b="1" i="0" baseline="0">
                <a:effectLst/>
              </a:rPr>
              <a:t>Immigration status, looked after children and care leavers, open 31 March 2022   </a:t>
            </a:r>
            <a:r>
              <a:rPr lang="en-US" sz="140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'Yorkshire &amp; Humber'!$G$176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35-421A-AE78-A5EF521F59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35-421A-AE78-A5EF521F59B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'Yorkshire &amp; Humber'!$F$177:$F$178</c:f>
              <c:strCache>
                <c:ptCount val="2"/>
                <c:pt idx="0">
                  <c:v>Asylum seeker / asylum seeker ARE</c:v>
                </c:pt>
                <c:pt idx="1">
                  <c:v>EEA status / nationality </c:v>
                </c:pt>
              </c:strCache>
            </c:strRef>
          </c:cat>
          <c:val>
            <c:numRef>
              <c:f>'Yorkshire &amp; Humber'!$G$177:$G$178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6B-456A-99AB-58B0AF9C1642}"/>
            </c:ext>
          </c:extLst>
        </c:ser>
        <c:ser>
          <c:idx val="1"/>
          <c:order val="1"/>
          <c:tx>
            <c:strRef>
              <c:f>'Yorkshire &amp; Humber'!$H$176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35-421A-AE78-A5EF521F59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35-421A-AE78-A5EF521F59B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'Yorkshire &amp; Humber'!$F$177:$F$178</c:f>
              <c:strCache>
                <c:ptCount val="2"/>
                <c:pt idx="0">
                  <c:v>Asylum seeker / asylum seeker ARE</c:v>
                </c:pt>
                <c:pt idx="1">
                  <c:v>EEA status / nationality </c:v>
                </c:pt>
              </c:strCache>
            </c:strRef>
          </c:cat>
          <c:val>
            <c:numRef>
              <c:f>'Yorkshire &amp; Humber'!$H$177:$H$178</c:f>
              <c:numCache>
                <c:formatCode>0%</c:formatCode>
                <c:ptCount val="2"/>
                <c:pt idx="0">
                  <c:v>0.4</c:v>
                </c:pt>
                <c:pt idx="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6B-456A-99AB-58B0AF9C164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105317439854028"/>
          <c:y val="0.36579709132810728"/>
          <c:w val="0.32383347547551516"/>
          <c:h val="0.3259444454143897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Yorkshire &amp; Humber - </a:t>
            </a:r>
            <a:r>
              <a:rPr lang="en-US" sz="1400" b="1" i="0" baseline="0">
                <a:effectLst/>
              </a:rPr>
              <a:t>Immigration status, family households referred  2021-2022  </a:t>
            </a:r>
            <a:r>
              <a:rPr lang="en-US" sz="140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'Yorkshire &amp; Humber'!$G$201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65E-4B42-9B20-F550517EA5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EC1-4486-B08D-429F65856D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65E-4B42-9B20-F550517EA52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65E-4B42-9B20-F550517EA52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65E-4B42-9B20-F550517EA52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EC1-4486-B08D-429F65856D67}"/>
              </c:ext>
            </c:extLst>
          </c:dPt>
          <c:dLbls>
            <c:dLbl>
              <c:idx val="1"/>
              <c:layout>
                <c:manualLayout>
                  <c:x val="1.1504834047642779E-2"/>
                  <c:y val="-2.070024265834771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C1-4486-B08D-429F65856D67}"/>
                </c:ext>
              </c:extLst>
            </c:dLbl>
            <c:dLbl>
              <c:idx val="5"/>
              <c:layout>
                <c:manualLayout>
                  <c:x val="2.4078740157480315E-2"/>
                  <c:y val="0.1596256128361313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C1-4486-B08D-429F65856D6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'Yorkshire &amp; Humber'!$F$202:$F$207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'Yorkshire &amp; Humber'!$G$202:$G$207</c:f>
              <c:numCache>
                <c:formatCode>General</c:formatCode>
                <c:ptCount val="6"/>
                <c:pt idx="0">
                  <c:v>43</c:v>
                </c:pt>
                <c:pt idx="1">
                  <c:v>3</c:v>
                </c:pt>
                <c:pt idx="2">
                  <c:v>51</c:v>
                </c:pt>
                <c:pt idx="3">
                  <c:v>24</c:v>
                </c:pt>
                <c:pt idx="4">
                  <c:v>49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C1-4486-B08D-429F65856D67}"/>
            </c:ext>
          </c:extLst>
        </c:ser>
        <c:ser>
          <c:idx val="1"/>
          <c:order val="1"/>
          <c:tx>
            <c:strRef>
              <c:f>'Yorkshire &amp; Humber'!$H$201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65E-4B42-9B20-F550517EA5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65E-4B42-9B20-F550517EA52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65E-4B42-9B20-F550517EA52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E65E-4B42-9B20-F550517EA52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E65E-4B42-9B20-F550517EA52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E65E-4B42-9B20-F550517EA52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'Yorkshire &amp; Humber'!$F$202:$F$207</c:f>
              <c:strCache>
                <c:ptCount val="6"/>
                <c:pt idx="0">
                  <c:v>Asylum seeker / asylum seeker ARE</c:v>
                </c:pt>
                <c:pt idx="1">
                  <c:v>British</c:v>
                </c:pt>
                <c:pt idx="2">
                  <c:v>EEA status / nationality </c:v>
                </c:pt>
                <c:pt idx="3">
                  <c:v>Leave to Remain (LTR) with NRPF</c:v>
                </c:pt>
                <c:pt idx="4">
                  <c:v>Leave to Remain (LTR) with recourse</c:v>
                </c:pt>
                <c:pt idx="5">
                  <c:v>No current immigration permission</c:v>
                </c:pt>
              </c:strCache>
            </c:strRef>
          </c:cat>
          <c:val>
            <c:numRef>
              <c:f>'Yorkshire &amp; Humber'!$H$202:$H$207</c:f>
              <c:numCache>
                <c:formatCode>0%</c:formatCode>
                <c:ptCount val="6"/>
                <c:pt idx="0">
                  <c:v>0.24022346368715083</c:v>
                </c:pt>
                <c:pt idx="1">
                  <c:v>1.6759776536312849E-2</c:v>
                </c:pt>
                <c:pt idx="2">
                  <c:v>0.28999999999999998</c:v>
                </c:pt>
                <c:pt idx="3">
                  <c:v>0.13407821229050279</c:v>
                </c:pt>
                <c:pt idx="4">
                  <c:v>0.27374301675977653</c:v>
                </c:pt>
                <c:pt idx="5">
                  <c:v>5.027932960893855E-2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C1-4486-B08D-429F65856D6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Yorkshire &amp; Humber - </a:t>
            </a:r>
            <a:r>
              <a:rPr lang="en-US" sz="1400" b="1" i="0" baseline="0">
                <a:effectLst/>
              </a:rPr>
              <a:t>Immigration status, adult households referred  2021-2022  </a:t>
            </a:r>
            <a:r>
              <a:rPr lang="en-GB" sz="1400" b="1" i="0" baseline="0">
                <a:effectLst/>
              </a:rPr>
              <a:t> </a:t>
            </a:r>
            <a:r>
              <a:rPr lang="en-US" sz="1400" b="1" i="0" baseline="0">
                <a:effectLst/>
              </a:rPr>
              <a:t> </a:t>
            </a:r>
            <a:r>
              <a:rPr lang="en-US" sz="140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'Yorkshire &amp; Humber'!$G$232</c:f>
              <c:strCache>
                <c:ptCount val="1"/>
                <c:pt idx="0">
                  <c:v>Number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63D-40E2-B0A0-47C6056724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33F-45F5-9E3E-837BF0DD61C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33F-45F5-9E3E-837BF0DD61C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33F-45F5-9E3E-837BF0DD61C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33F-45F5-9E3E-837BF0DD61C9}"/>
              </c:ext>
            </c:extLst>
          </c:dPt>
          <c:dLbls>
            <c:dLbl>
              <c:idx val="0"/>
              <c:layout>
                <c:manualLayout>
                  <c:x val="-3.6474500632924921E-2"/>
                  <c:y val="0.1497422896764769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3D-40E2-B0A0-47C60567241B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'Yorkshire &amp; Humber'!$F$233:$F$237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'Yorkshire &amp; Humber'!$G$233:$G$237</c:f>
              <c:numCache>
                <c:formatCode>General</c:formatCode>
                <c:ptCount val="5"/>
                <c:pt idx="0">
                  <c:v>9</c:v>
                </c:pt>
                <c:pt idx="1">
                  <c:v>29</c:v>
                </c:pt>
                <c:pt idx="2">
                  <c:v>32</c:v>
                </c:pt>
                <c:pt idx="3">
                  <c:v>24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3D-40E2-B0A0-47C60567241B}"/>
            </c:ext>
          </c:extLst>
        </c:ser>
        <c:ser>
          <c:idx val="1"/>
          <c:order val="1"/>
          <c:tx>
            <c:strRef>
              <c:f>'Yorkshire &amp; Humber'!$H$232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33F-45F5-9E3E-837BF0DD61C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33F-45F5-9E3E-837BF0DD61C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33F-45F5-9E3E-837BF0DD61C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33F-45F5-9E3E-837BF0DD61C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33F-45F5-9E3E-837BF0DD61C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'Yorkshire &amp; Humber'!$F$233:$F$237</c:f>
              <c:strCache>
                <c:ptCount val="5"/>
                <c:pt idx="0">
                  <c:v>Asylum seeker / asylum seeker ARE</c:v>
                </c:pt>
                <c:pt idx="1">
                  <c:v>EEA status / nationality </c:v>
                </c:pt>
                <c:pt idx="2">
                  <c:v>Leave to Remain (LTR) with NRPF</c:v>
                </c:pt>
                <c:pt idx="3">
                  <c:v>Leave to Remain (LTR) with recourse</c:v>
                </c:pt>
                <c:pt idx="4">
                  <c:v>No current immigration permission</c:v>
                </c:pt>
              </c:strCache>
            </c:strRef>
          </c:cat>
          <c:val>
            <c:numRef>
              <c:f>'Yorkshire &amp; Humber'!$H$233:$H$237</c:f>
              <c:numCache>
                <c:formatCode>0%</c:formatCode>
                <c:ptCount val="5"/>
                <c:pt idx="0">
                  <c:v>7.8947368421052627E-2</c:v>
                </c:pt>
                <c:pt idx="1">
                  <c:v>0.25438596491228072</c:v>
                </c:pt>
                <c:pt idx="2">
                  <c:v>0.2807017543859649</c:v>
                </c:pt>
                <c:pt idx="3">
                  <c:v>0.21052631578947367</c:v>
                </c:pt>
                <c:pt idx="4">
                  <c:v>0.17543859649122806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3D-40E2-B0A0-47C60567241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940826878928961"/>
          <c:y val="0.27019995634874"/>
          <c:w val="0.31424295736874852"/>
          <c:h val="0.6130114332723335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ED711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7.xml"/><Relationship Id="rId3" Type="http://schemas.openxmlformats.org/officeDocument/2006/relationships/chart" Target="../charts/chart92.xml"/><Relationship Id="rId7" Type="http://schemas.openxmlformats.org/officeDocument/2006/relationships/chart" Target="../charts/chart96.xml"/><Relationship Id="rId2" Type="http://schemas.openxmlformats.org/officeDocument/2006/relationships/chart" Target="../charts/chart91.xml"/><Relationship Id="rId1" Type="http://schemas.openxmlformats.org/officeDocument/2006/relationships/chart" Target="../charts/chart90.xml"/><Relationship Id="rId6" Type="http://schemas.openxmlformats.org/officeDocument/2006/relationships/chart" Target="../charts/chart95.xml"/><Relationship Id="rId5" Type="http://schemas.openxmlformats.org/officeDocument/2006/relationships/chart" Target="../charts/chart94.xml"/><Relationship Id="rId10" Type="http://schemas.openxmlformats.org/officeDocument/2006/relationships/chart" Target="../charts/chart99.xml"/><Relationship Id="rId4" Type="http://schemas.openxmlformats.org/officeDocument/2006/relationships/chart" Target="../charts/chart93.xml"/><Relationship Id="rId9" Type="http://schemas.openxmlformats.org/officeDocument/2006/relationships/chart" Target="../charts/chart9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2.xml"/><Relationship Id="rId7" Type="http://schemas.openxmlformats.org/officeDocument/2006/relationships/chart" Target="../charts/chart106.xml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Relationship Id="rId6" Type="http://schemas.openxmlformats.org/officeDocument/2006/relationships/chart" Target="../charts/chart105.xml"/><Relationship Id="rId5" Type="http://schemas.openxmlformats.org/officeDocument/2006/relationships/chart" Target="../charts/chart104.xml"/><Relationship Id="rId4" Type="http://schemas.openxmlformats.org/officeDocument/2006/relationships/chart" Target="../charts/chart10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10" Type="http://schemas.openxmlformats.org/officeDocument/2006/relationships/chart" Target="../charts/chart30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10" Type="http://schemas.openxmlformats.org/officeDocument/2006/relationships/chart" Target="../charts/chart59.xml"/><Relationship Id="rId4" Type="http://schemas.openxmlformats.org/officeDocument/2006/relationships/chart" Target="../charts/chart53.xml"/><Relationship Id="rId9" Type="http://schemas.openxmlformats.org/officeDocument/2006/relationships/chart" Target="../charts/chart58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10" Type="http://schemas.openxmlformats.org/officeDocument/2006/relationships/chart" Target="../charts/chart69.xml"/><Relationship Id="rId4" Type="http://schemas.openxmlformats.org/officeDocument/2006/relationships/chart" Target="../charts/chart63.xml"/><Relationship Id="rId9" Type="http://schemas.openxmlformats.org/officeDocument/2006/relationships/chart" Target="../charts/chart6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7.xml"/><Relationship Id="rId3" Type="http://schemas.openxmlformats.org/officeDocument/2006/relationships/chart" Target="../charts/chart72.xml"/><Relationship Id="rId7" Type="http://schemas.openxmlformats.org/officeDocument/2006/relationships/chart" Target="../charts/chart76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Relationship Id="rId6" Type="http://schemas.openxmlformats.org/officeDocument/2006/relationships/chart" Target="../charts/chart75.xml"/><Relationship Id="rId5" Type="http://schemas.openxmlformats.org/officeDocument/2006/relationships/chart" Target="../charts/chart74.xml"/><Relationship Id="rId10" Type="http://schemas.openxmlformats.org/officeDocument/2006/relationships/chart" Target="../charts/chart79.xml"/><Relationship Id="rId4" Type="http://schemas.openxmlformats.org/officeDocument/2006/relationships/chart" Target="../charts/chart73.xml"/><Relationship Id="rId9" Type="http://schemas.openxmlformats.org/officeDocument/2006/relationships/chart" Target="../charts/chart78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chart" Target="../charts/chart82.xml"/><Relationship Id="rId7" Type="http://schemas.openxmlformats.org/officeDocument/2006/relationships/chart" Target="../charts/chart86.xml"/><Relationship Id="rId2" Type="http://schemas.openxmlformats.org/officeDocument/2006/relationships/chart" Target="../charts/chart81.xml"/><Relationship Id="rId1" Type="http://schemas.openxmlformats.org/officeDocument/2006/relationships/chart" Target="../charts/chart80.xml"/><Relationship Id="rId6" Type="http://schemas.openxmlformats.org/officeDocument/2006/relationships/chart" Target="../charts/chart85.xml"/><Relationship Id="rId5" Type="http://schemas.openxmlformats.org/officeDocument/2006/relationships/chart" Target="../charts/chart84.xml"/><Relationship Id="rId10" Type="http://schemas.openxmlformats.org/officeDocument/2006/relationships/chart" Target="../charts/chart89.xml"/><Relationship Id="rId4" Type="http://schemas.openxmlformats.org/officeDocument/2006/relationships/chart" Target="../charts/chart83.xml"/><Relationship Id="rId9" Type="http://schemas.openxmlformats.org/officeDocument/2006/relationships/chart" Target="../charts/chart8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258233</xdr:colOff>
      <xdr:row>8</xdr:row>
      <xdr:rowOff>177800</xdr:rowOff>
    </xdr:from>
    <xdr:to>
      <xdr:col>6</xdr:col>
      <xdr:colOff>317499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5D8FE9D-67CE-447F-8E31-57D9CE978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309033</xdr:colOff>
      <xdr:row>32</xdr:row>
      <xdr:rowOff>8466</xdr:rowOff>
    </xdr:from>
    <xdr:to>
      <xdr:col>6</xdr:col>
      <xdr:colOff>368299</xdr:colOff>
      <xdr:row>47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E90F5F7-A1D9-4320-97A7-199A4DECE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342900</xdr:colOff>
      <xdr:row>53</xdr:row>
      <xdr:rowOff>152400</xdr:rowOff>
    </xdr:from>
    <xdr:to>
      <xdr:col>6</xdr:col>
      <xdr:colOff>406400</xdr:colOff>
      <xdr:row>69</xdr:row>
      <xdr:rowOff>165100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0DAB7B2-670F-4A73-825E-B9701B5AB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285750</xdr:colOff>
      <xdr:row>73</xdr:row>
      <xdr:rowOff>142875</xdr:rowOff>
    </xdr:from>
    <xdr:to>
      <xdr:col>5</xdr:col>
      <xdr:colOff>3048000</xdr:colOff>
      <xdr:row>91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BA5E96-012F-4DFE-B64D-6CB28DB80ADF}"/>
            </a:ext>
            <a:ext uri="{147F2762-F138-4A5C-976F-8EAC2B608ADB}">
              <a16:predDERef xmlns:a16="http://schemas.microsoft.com/office/drawing/2014/main" pred="{E0DAB7B2-670F-4A73-825E-B9701B5AB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312209</xdr:colOff>
      <xdr:row>96</xdr:row>
      <xdr:rowOff>0</xdr:rowOff>
    </xdr:from>
    <xdr:to>
      <xdr:col>5</xdr:col>
      <xdr:colOff>3079750</xdr:colOff>
      <xdr:row>113</xdr:row>
      <xdr:rowOff>172640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FD891F0-7B20-411F-B096-6EAAEEAD2E47}"/>
            </a:ext>
            <a:ext uri="{147F2762-F138-4A5C-976F-8EAC2B608ADB}">
              <a16:predDERef xmlns:a16="http://schemas.microsoft.com/office/drawing/2014/main" pred="{9EBA5E96-012F-4DFE-B64D-6CB28DB80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12700</xdr:colOff>
      <xdr:row>126</xdr:row>
      <xdr:rowOff>25400</xdr:rowOff>
    </xdr:from>
    <xdr:to>
      <xdr:col>6</xdr:col>
      <xdr:colOff>25400</xdr:colOff>
      <xdr:row>146</xdr:row>
      <xdr:rowOff>50800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C53A6B3-46A6-4E6B-8FA1-6AE9F9FF4D10}"/>
            </a:ext>
            <a:ext uri="{147F2762-F138-4A5C-976F-8EAC2B608ADB}">
              <a16:predDERef xmlns:a16="http://schemas.microsoft.com/office/drawing/2014/main" pred="{3FD891F0-7B20-411F-B096-6EAAEEAD2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29632</xdr:colOff>
      <xdr:row>164</xdr:row>
      <xdr:rowOff>9524</xdr:rowOff>
    </xdr:from>
    <xdr:to>
      <xdr:col>6</xdr:col>
      <xdr:colOff>50800</xdr:colOff>
      <xdr:row>183</xdr:row>
      <xdr:rowOff>12700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9BBD056-5156-464A-B3DC-4271A3D10E60}"/>
            </a:ext>
            <a:ext uri="{147F2762-F138-4A5C-976F-8EAC2B608ADB}">
              <a16:predDERef xmlns:a16="http://schemas.microsoft.com/office/drawing/2014/main" pred="{BC53A6B3-46A6-4E6B-8FA1-6AE9F9FF4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1478492</xdr:colOff>
      <xdr:row>199</xdr:row>
      <xdr:rowOff>63498</xdr:rowOff>
    </xdr:from>
    <xdr:to>
      <xdr:col>6</xdr:col>
      <xdr:colOff>63500</xdr:colOff>
      <xdr:row>218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7AABDBC-31B7-49C0-8E1D-070278452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1472140</xdr:colOff>
      <xdr:row>239</xdr:row>
      <xdr:rowOff>38101</xdr:rowOff>
    </xdr:from>
    <xdr:to>
      <xdr:col>6</xdr:col>
      <xdr:colOff>63500</xdr:colOff>
      <xdr:row>259</xdr:row>
      <xdr:rowOff>38101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15E3504A-F466-4D1C-8B0F-13747009C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1058</xdr:colOff>
      <xdr:row>277</xdr:row>
      <xdr:rowOff>95249</xdr:rowOff>
    </xdr:from>
    <xdr:to>
      <xdr:col>6</xdr:col>
      <xdr:colOff>101600</xdr:colOff>
      <xdr:row>297</xdr:row>
      <xdr:rowOff>88900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98E2A64D-9D0C-4728-BDB5-A7A02C3FD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8</xdr:row>
      <xdr:rowOff>171450</xdr:rowOff>
    </xdr:from>
    <xdr:to>
      <xdr:col>6</xdr:col>
      <xdr:colOff>495300</xdr:colOff>
      <xdr:row>24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0CD55C-87BA-43FA-8B59-2F7AC46C3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368300</xdr:colOff>
      <xdr:row>31</xdr:row>
      <xdr:rowOff>171450</xdr:rowOff>
    </xdr:from>
    <xdr:to>
      <xdr:col>6</xdr:col>
      <xdr:colOff>609600</xdr:colOff>
      <xdr:row>47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01FC10-F427-4515-9CF7-B5831C8B2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393700</xdr:colOff>
      <xdr:row>53</xdr:row>
      <xdr:rowOff>146050</xdr:rowOff>
    </xdr:from>
    <xdr:to>
      <xdr:col>7</xdr:col>
      <xdr:colOff>12700</xdr:colOff>
      <xdr:row>69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2C7F4D-CF5B-40B1-AD61-CE782EEE6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406400</xdr:colOff>
      <xdr:row>73</xdr:row>
      <xdr:rowOff>184150</xdr:rowOff>
    </xdr:from>
    <xdr:to>
      <xdr:col>5</xdr:col>
      <xdr:colOff>3073400</xdr:colOff>
      <xdr:row>92</xdr:row>
      <xdr:rowOff>50800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7FD1C43-C798-49A5-A3DF-EF97D3EF8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406400</xdr:colOff>
      <xdr:row>95</xdr:row>
      <xdr:rowOff>19050</xdr:rowOff>
    </xdr:from>
    <xdr:to>
      <xdr:col>5</xdr:col>
      <xdr:colOff>3048000</xdr:colOff>
      <xdr:row>113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D6EF54-5538-4DFE-A6D4-2CD585481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123</xdr:row>
      <xdr:rowOff>152400</xdr:rowOff>
    </xdr:from>
    <xdr:to>
      <xdr:col>5</xdr:col>
      <xdr:colOff>5461000</xdr:colOff>
      <xdr:row>141</xdr:row>
      <xdr:rowOff>152400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83FD983-DFD4-424A-BD5C-7E192198E5AC}"/>
            </a:ext>
            <a:ext uri="{147F2762-F138-4A5C-976F-8EAC2B608ADB}">
              <a16:predDERef xmlns:a16="http://schemas.microsoft.com/office/drawing/2014/main" pred="{ABD6EF54-5538-4DFE-A6D4-2CD585481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25400</xdr:colOff>
      <xdr:row>152</xdr:row>
      <xdr:rowOff>165100</xdr:rowOff>
    </xdr:from>
    <xdr:to>
      <xdr:col>5</xdr:col>
      <xdr:colOff>5448300</xdr:colOff>
      <xdr:row>171</xdr:row>
      <xdr:rowOff>88900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9DA3426-C404-41F0-A4E9-6D94040C8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1130300</xdr:colOff>
      <xdr:row>179</xdr:row>
      <xdr:rowOff>6350</xdr:rowOff>
    </xdr:from>
    <xdr:to>
      <xdr:col>6</xdr:col>
      <xdr:colOff>88900</xdr:colOff>
      <xdr:row>197</xdr:row>
      <xdr:rowOff>12700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9741A75-8D5B-4948-9C04-3824C10F5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208</xdr:row>
      <xdr:rowOff>6350</xdr:rowOff>
    </xdr:from>
    <xdr:to>
      <xdr:col>6</xdr:col>
      <xdr:colOff>63500</xdr:colOff>
      <xdr:row>226</xdr:row>
      <xdr:rowOff>152400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37ECBC4E-40CD-47E7-88C0-0F9596452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1117600</xdr:colOff>
      <xdr:row>237</xdr:row>
      <xdr:rowOff>107950</xdr:rowOff>
    </xdr:from>
    <xdr:to>
      <xdr:col>6</xdr:col>
      <xdr:colOff>0</xdr:colOff>
      <xdr:row>255</xdr:row>
      <xdr:rowOff>88900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D83DC91-9983-4132-B3E0-62B01D36E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279400</xdr:colOff>
      <xdr:row>8</xdr:row>
      <xdr:rowOff>171450</xdr:rowOff>
    </xdr:from>
    <xdr:to>
      <xdr:col>6</xdr:col>
      <xdr:colOff>787400</xdr:colOff>
      <xdr:row>24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0A1313-2399-4C07-B119-333C91F04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342900</xdr:colOff>
      <xdr:row>32</xdr:row>
      <xdr:rowOff>25400</xdr:rowOff>
    </xdr:from>
    <xdr:to>
      <xdr:col>6</xdr:col>
      <xdr:colOff>939800</xdr:colOff>
      <xdr:row>47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EEA212-32BB-42AD-A276-0752F42A4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431800</xdr:colOff>
      <xdr:row>68</xdr:row>
      <xdr:rowOff>158750</xdr:rowOff>
    </xdr:from>
    <xdr:to>
      <xdr:col>5</xdr:col>
      <xdr:colOff>2844800</xdr:colOff>
      <xdr:row>86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67E2416-B022-4621-A980-C3FC90302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1143000</xdr:colOff>
      <xdr:row>117</xdr:row>
      <xdr:rowOff>146050</xdr:rowOff>
    </xdr:from>
    <xdr:to>
      <xdr:col>5</xdr:col>
      <xdr:colOff>5410200</xdr:colOff>
      <xdr:row>135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B46AEAF-21E1-4C37-A09E-32FF72715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145</xdr:row>
      <xdr:rowOff>120650</xdr:rowOff>
    </xdr:from>
    <xdr:to>
      <xdr:col>5</xdr:col>
      <xdr:colOff>5219700</xdr:colOff>
      <xdr:row>161</xdr:row>
      <xdr:rowOff>127000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772904D-D433-44C8-8DCA-8B734FCD0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1143000</xdr:colOff>
      <xdr:row>176</xdr:row>
      <xdr:rowOff>146050</xdr:rowOff>
    </xdr:from>
    <xdr:to>
      <xdr:col>5</xdr:col>
      <xdr:colOff>5308600</xdr:colOff>
      <xdr:row>193</xdr:row>
      <xdr:rowOff>127000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8259832-BFCE-4288-B5D5-BE4926F9E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1143000</xdr:colOff>
      <xdr:row>202</xdr:row>
      <xdr:rowOff>44450</xdr:rowOff>
    </xdr:from>
    <xdr:to>
      <xdr:col>5</xdr:col>
      <xdr:colOff>5257800</xdr:colOff>
      <xdr:row>220</xdr:row>
      <xdr:rowOff>88900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A3249BC-9285-439F-B094-B0367E57B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355600</xdr:colOff>
      <xdr:row>8</xdr:row>
      <xdr:rowOff>158750</xdr:rowOff>
    </xdr:from>
    <xdr:to>
      <xdr:col>6</xdr:col>
      <xdr:colOff>774700</xdr:colOff>
      <xdr:row>25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769871-D980-4533-B65C-BA8FA8A06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355600</xdr:colOff>
      <xdr:row>31</xdr:row>
      <xdr:rowOff>184150</xdr:rowOff>
    </xdr:from>
    <xdr:to>
      <xdr:col>6</xdr:col>
      <xdr:colOff>749300</xdr:colOff>
      <xdr:row>48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6FB513-9FC5-48C8-8EED-8420E1C33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317500</xdr:colOff>
      <xdr:row>53</xdr:row>
      <xdr:rowOff>165100</xdr:rowOff>
    </xdr:from>
    <xdr:to>
      <xdr:col>6</xdr:col>
      <xdr:colOff>800100</xdr:colOff>
      <xdr:row>70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DC915BE-B60C-46DE-B873-48250A1F0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304800</xdr:colOff>
      <xdr:row>74</xdr:row>
      <xdr:rowOff>0</xdr:rowOff>
    </xdr:from>
    <xdr:to>
      <xdr:col>5</xdr:col>
      <xdr:colOff>2794000</xdr:colOff>
      <xdr:row>91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D3F3AEE-ACBD-487B-8E96-B74CCE8E4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317500</xdr:colOff>
      <xdr:row>95</xdr:row>
      <xdr:rowOff>0</xdr:rowOff>
    </xdr:from>
    <xdr:to>
      <xdr:col>5</xdr:col>
      <xdr:colOff>2806700</xdr:colOff>
      <xdr:row>113</xdr:row>
      <xdr:rowOff>12700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92F1593-AB42-48A3-B573-411F66773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1143000</xdr:colOff>
      <xdr:row>122</xdr:row>
      <xdr:rowOff>127000</xdr:rowOff>
    </xdr:from>
    <xdr:to>
      <xdr:col>6</xdr:col>
      <xdr:colOff>63500</xdr:colOff>
      <xdr:row>141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8E36DB4-BAAA-4C9D-AFE4-79CDAEE1AFDA}"/>
            </a:ext>
            <a:ext uri="{147F2762-F138-4A5C-976F-8EAC2B608ADB}">
              <a16:predDERef xmlns:a16="http://schemas.microsoft.com/office/drawing/2014/main" pred="{C92F1593-AB42-48A3-B573-411F66773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1130300</xdr:colOff>
      <xdr:row>150</xdr:row>
      <xdr:rowOff>120650</xdr:rowOff>
    </xdr:from>
    <xdr:to>
      <xdr:col>6</xdr:col>
      <xdr:colOff>50800</xdr:colOff>
      <xdr:row>168</xdr:row>
      <xdr:rowOff>152400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4F3C4D-8A8F-4E26-BA4C-0EDFCFBF5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179</xdr:row>
      <xdr:rowOff>133350</xdr:rowOff>
    </xdr:from>
    <xdr:to>
      <xdr:col>6</xdr:col>
      <xdr:colOff>0</xdr:colOff>
      <xdr:row>199</xdr:row>
      <xdr:rowOff>12700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EE9B8C9-4FD2-484F-B96E-8B7A0EC73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1143000</xdr:colOff>
      <xdr:row>209</xdr:row>
      <xdr:rowOff>146050</xdr:rowOff>
    </xdr:from>
    <xdr:to>
      <xdr:col>6</xdr:col>
      <xdr:colOff>76200</xdr:colOff>
      <xdr:row>229</xdr:row>
      <xdr:rowOff>12700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85684FE-AEC6-433B-BB7A-B206C2B93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25400</xdr:colOff>
      <xdr:row>241</xdr:row>
      <xdr:rowOff>158750</xdr:rowOff>
    </xdr:from>
    <xdr:to>
      <xdr:col>5</xdr:col>
      <xdr:colOff>5181600</xdr:colOff>
      <xdr:row>261</xdr:row>
      <xdr:rowOff>63500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D5BF629-EBB4-404D-B471-D380A7AFE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8</xdr:row>
      <xdr:rowOff>146050</xdr:rowOff>
    </xdr:from>
    <xdr:to>
      <xdr:col>6</xdr:col>
      <xdr:colOff>444500</xdr:colOff>
      <xdr:row>24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391CDF-7970-4D5A-83DF-E7798B93C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419100</xdr:colOff>
      <xdr:row>31</xdr:row>
      <xdr:rowOff>152400</xdr:rowOff>
    </xdr:from>
    <xdr:to>
      <xdr:col>6</xdr:col>
      <xdr:colOff>558800</xdr:colOff>
      <xdr:row>47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05E4D1-E3BB-4E5A-8492-7C25984A1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406400</xdr:colOff>
      <xdr:row>53</xdr:row>
      <xdr:rowOff>107950</xdr:rowOff>
    </xdr:from>
    <xdr:to>
      <xdr:col>6</xdr:col>
      <xdr:colOff>406400</xdr:colOff>
      <xdr:row>70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CCC8CC-5D02-489D-BB59-51FBBFC9B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304800</xdr:colOff>
      <xdr:row>74</xdr:row>
      <xdr:rowOff>177800</xdr:rowOff>
    </xdr:from>
    <xdr:to>
      <xdr:col>5</xdr:col>
      <xdr:colOff>3060700</xdr:colOff>
      <xdr:row>92</xdr:row>
      <xdr:rowOff>165100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D089DC9-017F-4E1A-983B-8CA5396A9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304800</xdr:colOff>
      <xdr:row>96</xdr:row>
      <xdr:rowOff>0</xdr:rowOff>
    </xdr:from>
    <xdr:to>
      <xdr:col>5</xdr:col>
      <xdr:colOff>3086100</xdr:colOff>
      <xdr:row>114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01EFB07-EA3A-47C7-9B38-51B2F67FB8D6}"/>
            </a:ext>
            <a:ext uri="{147F2762-F138-4A5C-976F-8EAC2B608ADB}">
              <a16:predDERef xmlns:a16="http://schemas.microsoft.com/office/drawing/2014/main" pred="{3D089DC9-017F-4E1A-983B-8CA5396A9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1117600</xdr:colOff>
      <xdr:row>125</xdr:row>
      <xdr:rowOff>38100</xdr:rowOff>
    </xdr:from>
    <xdr:to>
      <xdr:col>6</xdr:col>
      <xdr:colOff>63500</xdr:colOff>
      <xdr:row>144</xdr:row>
      <xdr:rowOff>101600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B75AC2E-00F8-415D-85E3-AA012C8C4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1143000</xdr:colOff>
      <xdr:row>155</xdr:row>
      <xdr:rowOff>88900</xdr:rowOff>
    </xdr:from>
    <xdr:to>
      <xdr:col>6</xdr:col>
      <xdr:colOff>38100</xdr:colOff>
      <xdr:row>175</xdr:row>
      <xdr:rowOff>12700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FB3C74E-B832-4D75-8B8F-0AAA65B4D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12700</xdr:colOff>
      <xdr:row>186</xdr:row>
      <xdr:rowOff>6350</xdr:rowOff>
    </xdr:from>
    <xdr:to>
      <xdr:col>6</xdr:col>
      <xdr:colOff>25400</xdr:colOff>
      <xdr:row>206</xdr:row>
      <xdr:rowOff>101600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7ED06B1-0792-416E-924A-7E75EE6B8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1143000</xdr:colOff>
      <xdr:row>218</xdr:row>
      <xdr:rowOff>31750</xdr:rowOff>
    </xdr:from>
    <xdr:to>
      <xdr:col>6</xdr:col>
      <xdr:colOff>63500</xdr:colOff>
      <xdr:row>237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C00972F-1160-4030-B4C9-3AA714202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1143000</xdr:colOff>
      <xdr:row>248</xdr:row>
      <xdr:rowOff>165100</xdr:rowOff>
    </xdr:from>
    <xdr:to>
      <xdr:col>6</xdr:col>
      <xdr:colOff>50800</xdr:colOff>
      <xdr:row>269</xdr:row>
      <xdr:rowOff>12700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26CAE11-4CF9-49E3-A286-B8D92BEEC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469900</xdr:colOff>
      <xdr:row>8</xdr:row>
      <xdr:rowOff>158750</xdr:rowOff>
    </xdr:from>
    <xdr:to>
      <xdr:col>6</xdr:col>
      <xdr:colOff>431800</xdr:colOff>
      <xdr:row>24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5A5693-9836-4B3B-9384-10760E938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431800</xdr:colOff>
      <xdr:row>32</xdr:row>
      <xdr:rowOff>0</xdr:rowOff>
    </xdr:from>
    <xdr:to>
      <xdr:col>6</xdr:col>
      <xdr:colOff>393700</xdr:colOff>
      <xdr:row>47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7F739DF-79FD-4F91-8112-80894E4AB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482600</xdr:colOff>
      <xdr:row>53</xdr:row>
      <xdr:rowOff>152400</xdr:rowOff>
    </xdr:from>
    <xdr:to>
      <xdr:col>6</xdr:col>
      <xdr:colOff>393700</xdr:colOff>
      <xdr:row>70</xdr:row>
      <xdr:rowOff>88900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D05D27-626C-4F27-9FC7-00824344C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495300</xdr:colOff>
      <xdr:row>73</xdr:row>
      <xdr:rowOff>0</xdr:rowOff>
    </xdr:from>
    <xdr:to>
      <xdr:col>5</xdr:col>
      <xdr:colOff>2743200</xdr:colOff>
      <xdr:row>91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4AFDBD-FAAE-4876-91E8-E78F1ACEF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520700</xdr:colOff>
      <xdr:row>94</xdr:row>
      <xdr:rowOff>0</xdr:rowOff>
    </xdr:from>
    <xdr:to>
      <xdr:col>5</xdr:col>
      <xdr:colOff>2794000</xdr:colOff>
      <xdr:row>111</xdr:row>
      <xdr:rowOff>127000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2FA52D5-C725-452E-AE76-EAA49DAA13CC}"/>
            </a:ext>
            <a:ext uri="{147F2762-F138-4A5C-976F-8EAC2B608ADB}">
              <a16:predDERef xmlns:a16="http://schemas.microsoft.com/office/drawing/2014/main" pred="{D34AFDBD-FAAE-4876-91E8-E78F1ACEF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122</xdr:row>
      <xdr:rowOff>139700</xdr:rowOff>
    </xdr:from>
    <xdr:to>
      <xdr:col>6</xdr:col>
      <xdr:colOff>25400</xdr:colOff>
      <xdr:row>142</xdr:row>
      <xdr:rowOff>12700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318E6E0-02AB-4E2B-9739-CE46C383AA6C}"/>
            </a:ext>
            <a:ext uri="{147F2762-F138-4A5C-976F-8EAC2B608ADB}">
              <a16:predDERef xmlns:a16="http://schemas.microsoft.com/office/drawing/2014/main" pred="{92FA52D5-C725-452E-AE76-EAA49DAA1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1397000</xdr:colOff>
      <xdr:row>160</xdr:row>
      <xdr:rowOff>19050</xdr:rowOff>
    </xdr:from>
    <xdr:to>
      <xdr:col>6</xdr:col>
      <xdr:colOff>38100</xdr:colOff>
      <xdr:row>179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DBE9985-B083-43BF-9207-C8CA2D232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1384300</xdr:colOff>
      <xdr:row>195</xdr:row>
      <xdr:rowOff>0</xdr:rowOff>
    </xdr:from>
    <xdr:to>
      <xdr:col>6</xdr:col>
      <xdr:colOff>38100</xdr:colOff>
      <xdr:row>214</xdr:row>
      <xdr:rowOff>88900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4A6F554-4481-4337-971B-CC104BD78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235</xdr:row>
      <xdr:rowOff>31750</xdr:rowOff>
    </xdr:from>
    <xdr:to>
      <xdr:col>5</xdr:col>
      <xdr:colOff>5257800</xdr:colOff>
      <xdr:row>254</xdr:row>
      <xdr:rowOff>38100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3106E3D-BB64-4031-9056-DF44792B9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1384300</xdr:colOff>
      <xdr:row>273</xdr:row>
      <xdr:rowOff>63500</xdr:rowOff>
    </xdr:from>
    <xdr:to>
      <xdr:col>6</xdr:col>
      <xdr:colOff>50800</xdr:colOff>
      <xdr:row>292</xdr:row>
      <xdr:rowOff>88900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4DE4B72-4867-49A2-AEE5-54249BA15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508000</xdr:colOff>
      <xdr:row>9</xdr:row>
      <xdr:rowOff>19050</xdr:rowOff>
    </xdr:from>
    <xdr:to>
      <xdr:col>6</xdr:col>
      <xdr:colOff>711200</xdr:colOff>
      <xdr:row>25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03EEEA-9189-4ECE-9257-0E657DD70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508000</xdr:colOff>
      <xdr:row>31</xdr:row>
      <xdr:rowOff>158750</xdr:rowOff>
    </xdr:from>
    <xdr:to>
      <xdr:col>6</xdr:col>
      <xdr:colOff>711200</xdr:colOff>
      <xdr:row>47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092355-00D5-4C32-B392-F4CD1713E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444500</xdr:colOff>
      <xdr:row>54</xdr:row>
      <xdr:rowOff>38100</xdr:rowOff>
    </xdr:from>
    <xdr:to>
      <xdr:col>6</xdr:col>
      <xdr:colOff>736600</xdr:colOff>
      <xdr:row>68</xdr:row>
      <xdr:rowOff>88900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FF768D5-3AD2-4C1D-BEF6-31D2C3945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419100</xdr:colOff>
      <xdr:row>72</xdr:row>
      <xdr:rowOff>146050</xdr:rowOff>
    </xdr:from>
    <xdr:to>
      <xdr:col>5</xdr:col>
      <xdr:colOff>3136900</xdr:colOff>
      <xdr:row>91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1D8AB72-0CC5-422A-8843-A24CC4286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25400</xdr:colOff>
      <xdr:row>120</xdr:row>
      <xdr:rowOff>0</xdr:rowOff>
    </xdr:from>
    <xdr:to>
      <xdr:col>6</xdr:col>
      <xdr:colOff>0</xdr:colOff>
      <xdr:row>138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B57D6A3-B95C-444C-B25A-8DA408A54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1143000</xdr:colOff>
      <xdr:row>145</xdr:row>
      <xdr:rowOff>152400</xdr:rowOff>
    </xdr:from>
    <xdr:to>
      <xdr:col>5</xdr:col>
      <xdr:colOff>5003800</xdr:colOff>
      <xdr:row>163</xdr:row>
      <xdr:rowOff>127000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3D6B77C-62A1-4C69-B3CB-A4F3604F0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12700</xdr:colOff>
      <xdr:row>171</xdr:row>
      <xdr:rowOff>146050</xdr:rowOff>
    </xdr:from>
    <xdr:to>
      <xdr:col>5</xdr:col>
      <xdr:colOff>5041900</xdr:colOff>
      <xdr:row>188</xdr:row>
      <xdr:rowOff>101600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711F9EB-F7CF-4A73-BE71-EE4128D72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1130300</xdr:colOff>
      <xdr:row>194</xdr:row>
      <xdr:rowOff>158750</xdr:rowOff>
    </xdr:from>
    <xdr:to>
      <xdr:col>5</xdr:col>
      <xdr:colOff>4991100</xdr:colOff>
      <xdr:row>210</xdr:row>
      <xdr:rowOff>101600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F02B235-FDE0-48C9-A916-71CD553F4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25400</xdr:colOff>
      <xdr:row>220</xdr:row>
      <xdr:rowOff>133350</xdr:rowOff>
    </xdr:from>
    <xdr:to>
      <xdr:col>6</xdr:col>
      <xdr:colOff>25400</xdr:colOff>
      <xdr:row>238</xdr:row>
      <xdr:rowOff>165100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17B490D-2687-45D4-9F34-0C6601069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8</xdr:row>
      <xdr:rowOff>158750</xdr:rowOff>
    </xdr:from>
    <xdr:to>
      <xdr:col>6</xdr:col>
      <xdr:colOff>546100</xdr:colOff>
      <xdr:row>24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706142-558F-4812-9339-58922FA8C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431800</xdr:colOff>
      <xdr:row>31</xdr:row>
      <xdr:rowOff>146050</xdr:rowOff>
    </xdr:from>
    <xdr:to>
      <xdr:col>6</xdr:col>
      <xdr:colOff>584200</xdr:colOff>
      <xdr:row>47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7A17D3-4064-458F-8B15-07ECE4779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482600</xdr:colOff>
      <xdr:row>53</xdr:row>
      <xdr:rowOff>133350</xdr:rowOff>
    </xdr:from>
    <xdr:to>
      <xdr:col>6</xdr:col>
      <xdr:colOff>673100</xdr:colOff>
      <xdr:row>68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7255F25-0DBC-4E62-90A9-3A60F43C0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355600</xdr:colOff>
      <xdr:row>72</xdr:row>
      <xdr:rowOff>0</xdr:rowOff>
    </xdr:from>
    <xdr:to>
      <xdr:col>5</xdr:col>
      <xdr:colOff>2882900</xdr:colOff>
      <xdr:row>90</xdr:row>
      <xdr:rowOff>12700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29EA57C-0546-435B-97FD-4C6872CAC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393700</xdr:colOff>
      <xdr:row>93</xdr:row>
      <xdr:rowOff>0</xdr:rowOff>
    </xdr:from>
    <xdr:to>
      <xdr:col>5</xdr:col>
      <xdr:colOff>2921000</xdr:colOff>
      <xdr:row>111</xdr:row>
      <xdr:rowOff>25400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2E24114-36B1-4CBC-ABF6-998C80663769}"/>
            </a:ext>
            <a:ext uri="{147F2762-F138-4A5C-976F-8EAC2B608ADB}">
              <a16:predDERef xmlns:a16="http://schemas.microsoft.com/office/drawing/2014/main" pred="{629EA57C-0546-435B-97FD-4C6872CAC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1130300</xdr:colOff>
      <xdr:row>122</xdr:row>
      <xdr:rowOff>0</xdr:rowOff>
    </xdr:from>
    <xdr:to>
      <xdr:col>6</xdr:col>
      <xdr:colOff>0</xdr:colOff>
      <xdr:row>141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E3E6BE9-D576-4B8A-B1F4-943E2D0A4EEC}"/>
            </a:ext>
            <a:ext uri="{147F2762-F138-4A5C-976F-8EAC2B608ADB}">
              <a16:predDERef xmlns:a16="http://schemas.microsoft.com/office/drawing/2014/main" pred="{82E24114-36B1-4CBC-ABF6-998C80663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151</xdr:row>
      <xdr:rowOff>171450</xdr:rowOff>
    </xdr:from>
    <xdr:to>
      <xdr:col>6</xdr:col>
      <xdr:colOff>12700</xdr:colOff>
      <xdr:row>169</xdr:row>
      <xdr:rowOff>139700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35E264A-6320-48B3-9BE4-D52755A85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38100</xdr:colOff>
      <xdr:row>176</xdr:row>
      <xdr:rowOff>0</xdr:rowOff>
    </xdr:from>
    <xdr:to>
      <xdr:col>6</xdr:col>
      <xdr:colOff>38100</xdr:colOff>
      <xdr:row>191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44610C9-8BCB-4BAF-935B-0FF2AA1E1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1143000</xdr:colOff>
      <xdr:row>202</xdr:row>
      <xdr:rowOff>146050</xdr:rowOff>
    </xdr:from>
    <xdr:to>
      <xdr:col>5</xdr:col>
      <xdr:colOff>5448300</xdr:colOff>
      <xdr:row>220</xdr:row>
      <xdr:rowOff>88900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1F7D46E-3729-4FD4-9CBB-AE55D4045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0</xdr:colOff>
      <xdr:row>231</xdr:row>
      <xdr:rowOff>19050</xdr:rowOff>
    </xdr:from>
    <xdr:to>
      <xdr:col>5</xdr:col>
      <xdr:colOff>5461000</xdr:colOff>
      <xdr:row>248</xdr:row>
      <xdr:rowOff>88900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E7097A5-11FB-468A-A04D-B06B7710C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279400</xdr:colOff>
      <xdr:row>8</xdr:row>
      <xdr:rowOff>171450</xdr:rowOff>
    </xdr:from>
    <xdr:to>
      <xdr:col>7</xdr:col>
      <xdr:colOff>12700</xdr:colOff>
      <xdr:row>24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800DFF-F14B-4A47-AD51-4181FDCBA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355600</xdr:colOff>
      <xdr:row>31</xdr:row>
      <xdr:rowOff>165100</xdr:rowOff>
    </xdr:from>
    <xdr:to>
      <xdr:col>7</xdr:col>
      <xdr:colOff>114300</xdr:colOff>
      <xdr:row>47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C2BDEB-A856-4BD1-83D5-3B0C37D29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419100</xdr:colOff>
      <xdr:row>53</xdr:row>
      <xdr:rowOff>107950</xdr:rowOff>
    </xdr:from>
    <xdr:to>
      <xdr:col>7</xdr:col>
      <xdr:colOff>127000</xdr:colOff>
      <xdr:row>69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606246-9A4C-4B19-8D7A-01E0C29EB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317500</xdr:colOff>
      <xdr:row>73</xdr:row>
      <xdr:rowOff>184150</xdr:rowOff>
    </xdr:from>
    <xdr:to>
      <xdr:col>5</xdr:col>
      <xdr:colOff>2895600</xdr:colOff>
      <xdr:row>92</xdr:row>
      <xdr:rowOff>50800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A366184-C7F5-44D3-A87A-6B21895DB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266700</xdr:colOff>
      <xdr:row>96</xdr:row>
      <xdr:rowOff>25400</xdr:rowOff>
    </xdr:from>
    <xdr:to>
      <xdr:col>5</xdr:col>
      <xdr:colOff>2959100</xdr:colOff>
      <xdr:row>114</xdr:row>
      <xdr:rowOff>25400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EA948A0-624B-413A-92F7-66D7A50CE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1146174</xdr:colOff>
      <xdr:row>125</xdr:row>
      <xdr:rowOff>165100</xdr:rowOff>
    </xdr:from>
    <xdr:to>
      <xdr:col>6</xdr:col>
      <xdr:colOff>12699</xdr:colOff>
      <xdr:row>143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148BCCD-123B-4AF6-B579-E2451D1D1C77}"/>
            </a:ext>
            <a:ext uri="{147F2762-F138-4A5C-976F-8EAC2B608ADB}">
              <a16:predDERef xmlns:a16="http://schemas.microsoft.com/office/drawing/2014/main" pred="{BEA948A0-624B-413A-92F7-66D7A50CE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38100</xdr:colOff>
      <xdr:row>155</xdr:row>
      <xdr:rowOff>127000</xdr:rowOff>
    </xdr:from>
    <xdr:to>
      <xdr:col>6</xdr:col>
      <xdr:colOff>25400</xdr:colOff>
      <xdr:row>173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459183B-5F89-494C-BD7D-C2F74D811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25400</xdr:colOff>
      <xdr:row>184</xdr:row>
      <xdr:rowOff>19050</xdr:rowOff>
    </xdr:from>
    <xdr:to>
      <xdr:col>5</xdr:col>
      <xdr:colOff>5461000</xdr:colOff>
      <xdr:row>202</xdr:row>
      <xdr:rowOff>139700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6BDE9B1-6941-4880-8534-2C8292CFD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213</xdr:row>
      <xdr:rowOff>165100</xdr:rowOff>
    </xdr:from>
    <xdr:to>
      <xdr:col>6</xdr:col>
      <xdr:colOff>63500</xdr:colOff>
      <xdr:row>231</xdr:row>
      <xdr:rowOff>50800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6FBA644-B5DB-4A30-A692-4AC82B265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0</xdr:colOff>
      <xdr:row>246</xdr:row>
      <xdr:rowOff>0</xdr:rowOff>
    </xdr:from>
    <xdr:to>
      <xdr:col>6</xdr:col>
      <xdr:colOff>12700</xdr:colOff>
      <xdr:row>263</xdr:row>
      <xdr:rowOff>101600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B16D0C2-7A19-44D8-B564-BEF852E08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8</xdr:row>
      <xdr:rowOff>133350</xdr:rowOff>
    </xdr:from>
    <xdr:to>
      <xdr:col>6</xdr:col>
      <xdr:colOff>571500</xdr:colOff>
      <xdr:row>24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EFB033-743B-49BE-BEE9-5BB95A8C2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444500</xdr:colOff>
      <xdr:row>32</xdr:row>
      <xdr:rowOff>19050</xdr:rowOff>
    </xdr:from>
    <xdr:to>
      <xdr:col>6</xdr:col>
      <xdr:colOff>635000</xdr:colOff>
      <xdr:row>47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21B409-638C-4F78-A346-EAAE56138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53</xdr:row>
      <xdr:rowOff>114300</xdr:rowOff>
    </xdr:from>
    <xdr:to>
      <xdr:col>7</xdr:col>
      <xdr:colOff>101600</xdr:colOff>
      <xdr:row>68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B3C45ED-8D62-4E06-9404-6D7327437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406400</xdr:colOff>
      <xdr:row>71</xdr:row>
      <xdr:rowOff>0</xdr:rowOff>
    </xdr:from>
    <xdr:to>
      <xdr:col>5</xdr:col>
      <xdr:colOff>2768600</xdr:colOff>
      <xdr:row>89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89ADB26-60AB-47EA-9018-0A4ABC757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419100</xdr:colOff>
      <xdr:row>91</xdr:row>
      <xdr:rowOff>0</xdr:rowOff>
    </xdr:from>
    <xdr:to>
      <xdr:col>5</xdr:col>
      <xdr:colOff>2781300</xdr:colOff>
      <xdr:row>109</xdr:row>
      <xdr:rowOff>50800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7606C74-DF3D-4678-BBC5-42C06402DB69}"/>
            </a:ext>
            <a:ext uri="{147F2762-F138-4A5C-976F-8EAC2B608ADB}">
              <a16:predDERef xmlns:a16="http://schemas.microsoft.com/office/drawing/2014/main" pred="{389ADB26-60AB-47EA-9018-0A4ABC757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1143000</xdr:colOff>
      <xdr:row>120</xdr:row>
      <xdr:rowOff>158750</xdr:rowOff>
    </xdr:from>
    <xdr:to>
      <xdr:col>6</xdr:col>
      <xdr:colOff>0</xdr:colOff>
      <xdr:row>138</xdr:row>
      <xdr:rowOff>88900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AB262FC-A0A8-4683-80B7-7591C4F49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12700</xdr:colOff>
      <xdr:row>148</xdr:row>
      <xdr:rowOff>165100</xdr:rowOff>
    </xdr:from>
    <xdr:to>
      <xdr:col>6</xdr:col>
      <xdr:colOff>0</xdr:colOff>
      <xdr:row>165</xdr:row>
      <xdr:rowOff>25400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A6BD99F-CD2A-42FE-A505-0DC9FFB71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38100</xdr:colOff>
      <xdr:row>173</xdr:row>
      <xdr:rowOff>165100</xdr:rowOff>
    </xdr:from>
    <xdr:to>
      <xdr:col>6</xdr:col>
      <xdr:colOff>0</xdr:colOff>
      <xdr:row>190</xdr:row>
      <xdr:rowOff>165100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10B924D-415D-4E9C-9EE8-B799506B8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1143000</xdr:colOff>
      <xdr:row>201</xdr:row>
      <xdr:rowOff>19050</xdr:rowOff>
    </xdr:from>
    <xdr:to>
      <xdr:col>5</xdr:col>
      <xdr:colOff>5245100</xdr:colOff>
      <xdr:row>218</xdr:row>
      <xdr:rowOff>152400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79AE83F-CADD-49AA-ACBC-E3300AEE6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1117600</xdr:colOff>
      <xdr:row>230</xdr:row>
      <xdr:rowOff>38100</xdr:rowOff>
    </xdr:from>
    <xdr:to>
      <xdr:col>5</xdr:col>
      <xdr:colOff>5207000</xdr:colOff>
      <xdr:row>247</xdr:row>
      <xdr:rowOff>50800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EC3BAFA-AAF4-4B0C-B90A-43458760E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8</xdr:row>
      <xdr:rowOff>184150</xdr:rowOff>
    </xdr:from>
    <xdr:to>
      <xdr:col>6</xdr:col>
      <xdr:colOff>609600</xdr:colOff>
      <xdr:row>25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9FE217-B12A-4F33-B8FD-5B5568FB3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368300</xdr:colOff>
      <xdr:row>31</xdr:row>
      <xdr:rowOff>146050</xdr:rowOff>
    </xdr:from>
    <xdr:to>
      <xdr:col>6</xdr:col>
      <xdr:colOff>647700</xdr:colOff>
      <xdr:row>47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014C87-015E-4D03-936C-5E11C46A5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406400</xdr:colOff>
      <xdr:row>53</xdr:row>
      <xdr:rowOff>158750</xdr:rowOff>
    </xdr:from>
    <xdr:to>
      <xdr:col>6</xdr:col>
      <xdr:colOff>698500</xdr:colOff>
      <xdr:row>68</xdr:row>
      <xdr:rowOff>139700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80F39A-0E65-4A83-822D-1AF35DEBF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355600</xdr:colOff>
      <xdr:row>72</xdr:row>
      <xdr:rowOff>133350</xdr:rowOff>
    </xdr:from>
    <xdr:to>
      <xdr:col>5</xdr:col>
      <xdr:colOff>2857500</xdr:colOff>
      <xdr:row>91</xdr:row>
      <xdr:rowOff>25400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1893000-7E7C-4335-829F-7942DFEF5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266700</xdr:colOff>
      <xdr:row>94</xdr:row>
      <xdr:rowOff>12700</xdr:rowOff>
    </xdr:from>
    <xdr:to>
      <xdr:col>5</xdr:col>
      <xdr:colOff>2895600</xdr:colOff>
      <xdr:row>112</xdr:row>
      <xdr:rowOff>50800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B65632E-1944-41BA-8C39-1D849E429D99}"/>
            </a:ext>
            <a:ext uri="{147F2762-F138-4A5C-976F-8EAC2B608ADB}">
              <a16:predDERef xmlns:a16="http://schemas.microsoft.com/office/drawing/2014/main" pred="{A1893000-7E7C-4335-829F-7942DFEF5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122</xdr:row>
      <xdr:rowOff>133350</xdr:rowOff>
    </xdr:from>
    <xdr:to>
      <xdr:col>5</xdr:col>
      <xdr:colOff>5461000</xdr:colOff>
      <xdr:row>140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EFA1D33-508E-4279-9E88-3BB2CCCF0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1117600</xdr:colOff>
      <xdr:row>149</xdr:row>
      <xdr:rowOff>133350</xdr:rowOff>
    </xdr:from>
    <xdr:to>
      <xdr:col>5</xdr:col>
      <xdr:colOff>5461000</xdr:colOff>
      <xdr:row>167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AFD19EB-F11A-4AFD-9980-F0D366470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1143000</xdr:colOff>
      <xdr:row>178</xdr:row>
      <xdr:rowOff>6350</xdr:rowOff>
    </xdr:from>
    <xdr:to>
      <xdr:col>5</xdr:col>
      <xdr:colOff>5422900</xdr:colOff>
      <xdr:row>196</xdr:row>
      <xdr:rowOff>50800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1C5DD34-DDFE-4004-9963-06DB3B44E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12700</xdr:colOff>
      <xdr:row>207</xdr:row>
      <xdr:rowOff>146050</xdr:rowOff>
    </xdr:from>
    <xdr:to>
      <xdr:col>6</xdr:col>
      <xdr:colOff>25400</xdr:colOff>
      <xdr:row>226</xdr:row>
      <xdr:rowOff>76200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1CBDA28-E35A-4BC8-A888-EACC608CF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1104900</xdr:colOff>
      <xdr:row>237</xdr:row>
      <xdr:rowOff>146050</xdr:rowOff>
    </xdr:from>
    <xdr:to>
      <xdr:col>6</xdr:col>
      <xdr:colOff>0</xdr:colOff>
      <xdr:row>256</xdr:row>
      <xdr:rowOff>139700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32BFC3F-0DD1-4A52-AC5B-0102474FE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Pie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6B1E5A"/>
      </a:accent1>
      <a:accent2>
        <a:srgbClr val="ED7112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</sheetPr>
  <dimension ref="A1:H306"/>
  <sheetViews>
    <sheetView showGridLines="0" tabSelected="1" zoomScale="75" zoomScaleNormal="75" workbookViewId="0">
      <selection activeCell="B13" sqref="B13"/>
    </sheetView>
  </sheetViews>
  <sheetFormatPr defaultColWidth="9" defaultRowHeight="14" x14ac:dyDescent="0.3"/>
  <cols>
    <col min="1" max="1" width="82.1796875" style="1" customWidth="1"/>
    <col min="2" max="2" width="41.26953125" style="1" customWidth="1"/>
    <col min="3" max="4" width="17.26953125" style="1" bestFit="1" customWidth="1"/>
    <col min="5" max="5" width="21.1796875" style="1" customWidth="1"/>
    <col min="6" max="6" width="73" style="1" customWidth="1"/>
    <col min="7" max="7" width="12.26953125" style="1" bestFit="1" customWidth="1"/>
    <col min="8" max="8" width="13.81640625" style="1" bestFit="1" customWidth="1"/>
    <col min="9" max="9" width="14.1796875" style="1" bestFit="1" customWidth="1"/>
    <col min="10" max="16384" width="9" style="1"/>
  </cols>
  <sheetData>
    <row r="1" spans="1:6" x14ac:dyDescent="0.3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pans="1:6" x14ac:dyDescent="0.3">
      <c r="A2" s="6" t="s">
        <v>5</v>
      </c>
      <c r="B2" s="19">
        <v>73</v>
      </c>
      <c r="C2" s="19">
        <v>73</v>
      </c>
      <c r="D2" s="19">
        <v>74</v>
      </c>
      <c r="E2" s="20">
        <v>76</v>
      </c>
    </row>
    <row r="3" spans="1:6" x14ac:dyDescent="0.3">
      <c r="A3" s="6" t="s">
        <v>6</v>
      </c>
      <c r="B3" s="19">
        <v>73</v>
      </c>
      <c r="C3" s="19">
        <v>73</v>
      </c>
      <c r="D3" s="19">
        <v>72</v>
      </c>
      <c r="E3" s="20">
        <v>72</v>
      </c>
    </row>
    <row r="4" spans="1:6" x14ac:dyDescent="0.3">
      <c r="A4" s="6" t="s">
        <v>7</v>
      </c>
      <c r="B4" s="19">
        <v>70</v>
      </c>
      <c r="C4" s="19">
        <v>70</v>
      </c>
      <c r="D4" s="19">
        <v>69</v>
      </c>
      <c r="E4" s="20">
        <v>69</v>
      </c>
    </row>
    <row r="5" spans="1:6" x14ac:dyDescent="0.3">
      <c r="A5" s="6" t="s">
        <v>8</v>
      </c>
      <c r="B5" s="19">
        <v>47</v>
      </c>
      <c r="C5" s="19">
        <v>49</v>
      </c>
      <c r="D5" s="19">
        <v>47</v>
      </c>
      <c r="E5" s="20">
        <v>46</v>
      </c>
    </row>
    <row r="6" spans="1:6" x14ac:dyDescent="0.3">
      <c r="A6" s="7" t="s">
        <v>9</v>
      </c>
      <c r="B6" s="21">
        <v>31</v>
      </c>
      <c r="C6" s="21">
        <v>32</v>
      </c>
      <c r="D6" s="21">
        <v>32</v>
      </c>
      <c r="E6" s="22">
        <v>32</v>
      </c>
    </row>
    <row r="7" spans="1:6" x14ac:dyDescent="0.3">
      <c r="B7" s="13"/>
    </row>
    <row r="9" spans="1:6" ht="14.5" thickBot="1" x14ac:dyDescent="0.35"/>
    <row r="10" spans="1:6" x14ac:dyDescent="0.3">
      <c r="A10" s="8" t="s">
        <v>10</v>
      </c>
      <c r="B10" s="9" t="s">
        <v>1</v>
      </c>
      <c r="C10" s="9" t="s">
        <v>2</v>
      </c>
      <c r="D10" s="9" t="s">
        <v>3</v>
      </c>
      <c r="E10" s="58" t="s">
        <v>4</v>
      </c>
    </row>
    <row r="11" spans="1:6" x14ac:dyDescent="0.3">
      <c r="A11" s="10" t="s">
        <v>11</v>
      </c>
      <c r="B11" s="15">
        <v>1665</v>
      </c>
      <c r="C11" s="15">
        <v>1665</v>
      </c>
      <c r="D11" s="15">
        <v>1694</v>
      </c>
      <c r="E11" s="69">
        <v>1650</v>
      </c>
    </row>
    <row r="12" spans="1:6" x14ac:dyDescent="0.3">
      <c r="A12" s="10" t="s">
        <v>12</v>
      </c>
      <c r="B12" s="15">
        <v>2979</v>
      </c>
      <c r="C12" s="15">
        <v>2931</v>
      </c>
      <c r="D12" s="15">
        <v>2966</v>
      </c>
      <c r="E12" s="69">
        <v>2903</v>
      </c>
    </row>
    <row r="13" spans="1:6" x14ac:dyDescent="0.3">
      <c r="A13" s="10" t="s">
        <v>13</v>
      </c>
      <c r="B13" s="23">
        <v>535644.81000000006</v>
      </c>
      <c r="C13" s="23">
        <v>544487.56000000006</v>
      </c>
      <c r="D13" s="23">
        <v>552636.97</v>
      </c>
      <c r="E13" s="68">
        <v>544401.65</v>
      </c>
    </row>
    <row r="14" spans="1:6" x14ac:dyDescent="0.3">
      <c r="A14" s="10" t="s">
        <v>14</v>
      </c>
      <c r="B14" s="23">
        <f>B13/B11*52</f>
        <v>16728.84691891892</v>
      </c>
      <c r="C14" s="23">
        <f>C13/C11*52</f>
        <v>17005.016888888891</v>
      </c>
      <c r="D14" s="23">
        <f>D13/D11*52</f>
        <v>16964.062833530104</v>
      </c>
      <c r="E14" s="68">
        <f>E13/E11*52</f>
        <v>17156.900484848487</v>
      </c>
    </row>
    <row r="15" spans="1:6" x14ac:dyDescent="0.3">
      <c r="A15" s="10" t="s">
        <v>15</v>
      </c>
      <c r="B15" s="23">
        <f>B13*52</f>
        <v>27853530.120000005</v>
      </c>
      <c r="C15" s="23">
        <f>C13*52</f>
        <v>28313353.120000005</v>
      </c>
      <c r="D15" s="23">
        <f>D13*52</f>
        <v>28737122.439999998</v>
      </c>
      <c r="E15" s="68">
        <f>E13*52</f>
        <v>28308885.800000001</v>
      </c>
      <c r="F15" s="84"/>
    </row>
    <row r="16" spans="1:6" ht="14.5" thickBot="1" x14ac:dyDescent="0.35">
      <c r="A16" s="114" t="s">
        <v>16</v>
      </c>
      <c r="B16" s="24">
        <v>533</v>
      </c>
      <c r="C16" s="24">
        <v>544</v>
      </c>
      <c r="D16" s="24">
        <v>561</v>
      </c>
      <c r="E16" s="70">
        <v>598</v>
      </c>
      <c r="F16" s="93"/>
    </row>
    <row r="17" spans="1:6" x14ac:dyDescent="0.3">
      <c r="A17" s="112" t="s">
        <v>17</v>
      </c>
      <c r="B17" s="46">
        <v>1040</v>
      </c>
      <c r="C17" s="46">
        <v>1066</v>
      </c>
      <c r="D17" s="46">
        <v>1034</v>
      </c>
      <c r="E17" s="113">
        <v>1006</v>
      </c>
      <c r="F17" s="51"/>
    </row>
    <row r="18" spans="1:6" x14ac:dyDescent="0.3">
      <c r="A18" s="25" t="s">
        <v>18</v>
      </c>
      <c r="B18" s="15">
        <v>154</v>
      </c>
      <c r="C18" s="15">
        <v>162</v>
      </c>
      <c r="D18" s="15">
        <v>171</v>
      </c>
      <c r="E18" s="69">
        <v>176</v>
      </c>
      <c r="F18" s="93"/>
    </row>
    <row r="19" spans="1:6" x14ac:dyDescent="0.3">
      <c r="A19" s="78" t="s">
        <v>19</v>
      </c>
      <c r="B19" s="122">
        <f>B18/B17</f>
        <v>0.14807692307692308</v>
      </c>
      <c r="C19" s="122">
        <f t="shared" ref="C19:E19" si="0">C18/C17</f>
        <v>0.15196998123827393</v>
      </c>
      <c r="D19" s="122">
        <f t="shared" si="0"/>
        <v>0.16537717601547389</v>
      </c>
      <c r="E19" s="185">
        <f t="shared" si="0"/>
        <v>0.1749502982107356</v>
      </c>
      <c r="F19" s="93"/>
    </row>
    <row r="20" spans="1:6" ht="14.5" thickBot="1" x14ac:dyDescent="0.35">
      <c r="A20" s="34" t="s">
        <v>20</v>
      </c>
      <c r="B20" s="24">
        <v>220</v>
      </c>
      <c r="C20" s="24">
        <v>229</v>
      </c>
      <c r="D20" s="24">
        <v>246</v>
      </c>
      <c r="E20" s="70">
        <v>250</v>
      </c>
      <c r="F20" s="51"/>
    </row>
    <row r="21" spans="1:6" x14ac:dyDescent="0.3">
      <c r="A21" s="112" t="s">
        <v>21</v>
      </c>
      <c r="B21" s="46">
        <v>176</v>
      </c>
      <c r="C21" s="46">
        <v>203</v>
      </c>
      <c r="D21" s="46">
        <v>240</v>
      </c>
      <c r="E21" s="113">
        <v>246</v>
      </c>
      <c r="F21" s="51"/>
    </row>
    <row r="22" spans="1:6" x14ac:dyDescent="0.3">
      <c r="A22" s="25" t="s">
        <v>22</v>
      </c>
      <c r="B22" s="15">
        <v>72</v>
      </c>
      <c r="C22" s="15">
        <v>100</v>
      </c>
      <c r="D22" s="15">
        <v>131</v>
      </c>
      <c r="E22" s="69">
        <v>130</v>
      </c>
      <c r="F22" s="93"/>
    </row>
    <row r="23" spans="1:6" x14ac:dyDescent="0.3">
      <c r="A23" s="25" t="s">
        <v>23</v>
      </c>
      <c r="B23" s="15">
        <v>9</v>
      </c>
      <c r="C23" s="15">
        <v>0</v>
      </c>
      <c r="D23" s="15">
        <v>18</v>
      </c>
      <c r="E23" s="69">
        <v>14</v>
      </c>
      <c r="F23" s="51"/>
    </row>
    <row r="24" spans="1:6" x14ac:dyDescent="0.3">
      <c r="A24" s="25" t="s">
        <v>24</v>
      </c>
      <c r="B24" s="48">
        <v>63</v>
      </c>
      <c r="C24" s="48">
        <v>54</v>
      </c>
      <c r="D24" s="48">
        <v>63</v>
      </c>
      <c r="E24" s="71">
        <v>60</v>
      </c>
      <c r="F24" s="51"/>
    </row>
    <row r="25" spans="1:6" ht="14.5" thickBot="1" x14ac:dyDescent="0.35">
      <c r="A25" s="34" t="s">
        <v>25</v>
      </c>
      <c r="B25" s="143">
        <f>(B24+B23+B21)/(B11-B26)</f>
        <v>0.16445623342175067</v>
      </c>
      <c r="C25" s="143">
        <f t="shared" ref="C25:D25" si="1">(C24+C23+C21)/(C11-C26)</f>
        <v>0.16559278350515463</v>
      </c>
      <c r="D25" s="143">
        <f t="shared" si="1"/>
        <v>0.2004996876951905</v>
      </c>
      <c r="E25" s="184">
        <f>(E24+E23+E21)/(E11-E26)</f>
        <v>0.20304568527918782</v>
      </c>
      <c r="F25" s="51"/>
    </row>
    <row r="26" spans="1:6" ht="14.5" thickBot="1" x14ac:dyDescent="0.35">
      <c r="A26" s="115" t="s">
        <v>26</v>
      </c>
      <c r="B26" s="116">
        <v>157</v>
      </c>
      <c r="C26" s="116">
        <v>113</v>
      </c>
      <c r="D26" s="116">
        <v>93</v>
      </c>
      <c r="E26" s="117">
        <v>74</v>
      </c>
      <c r="F26" s="51"/>
    </row>
    <row r="27" spans="1:6" x14ac:dyDescent="0.3">
      <c r="A27" s="112" t="s">
        <v>27</v>
      </c>
      <c r="B27" s="46">
        <v>772</v>
      </c>
      <c r="C27" s="46">
        <v>787</v>
      </c>
      <c r="D27" s="46">
        <v>741</v>
      </c>
      <c r="E27" s="113">
        <v>724</v>
      </c>
      <c r="F27" s="93"/>
    </row>
    <row r="28" spans="1:6" x14ac:dyDescent="0.3">
      <c r="A28" s="25" t="s">
        <v>28</v>
      </c>
      <c r="B28" s="15">
        <v>330</v>
      </c>
      <c r="C28" s="15">
        <v>330</v>
      </c>
      <c r="D28" s="15">
        <v>311</v>
      </c>
      <c r="E28" s="69">
        <v>206</v>
      </c>
    </row>
    <row r="29" spans="1:6" ht="14.5" thickBot="1" x14ac:dyDescent="0.35">
      <c r="A29" s="34" t="s">
        <v>29</v>
      </c>
      <c r="B29" s="24">
        <v>320</v>
      </c>
      <c r="C29" s="24">
        <v>333</v>
      </c>
      <c r="D29" s="24">
        <v>284</v>
      </c>
      <c r="E29" s="70">
        <v>273</v>
      </c>
    </row>
    <row r="32" spans="1:6" ht="14.5" thickBot="1" x14ac:dyDescent="0.35"/>
    <row r="33" spans="1:7" x14ac:dyDescent="0.3">
      <c r="A33" s="8" t="s">
        <v>30</v>
      </c>
      <c r="B33" s="9" t="s">
        <v>1</v>
      </c>
      <c r="C33" s="9" t="s">
        <v>2</v>
      </c>
      <c r="D33" s="9" t="s">
        <v>3</v>
      </c>
      <c r="E33" s="58" t="s">
        <v>4</v>
      </c>
    </row>
    <row r="34" spans="1:7" x14ac:dyDescent="0.3">
      <c r="A34" s="25" t="s">
        <v>11</v>
      </c>
      <c r="B34" s="15">
        <v>801</v>
      </c>
      <c r="C34" s="15">
        <v>806</v>
      </c>
      <c r="D34" s="15">
        <v>820</v>
      </c>
      <c r="E34" s="69">
        <v>826</v>
      </c>
    </row>
    <row r="35" spans="1:7" x14ac:dyDescent="0.3">
      <c r="A35" s="25" t="s">
        <v>13</v>
      </c>
      <c r="B35" s="23">
        <v>292700.84000000003</v>
      </c>
      <c r="C35" s="23">
        <v>296924.59000000003</v>
      </c>
      <c r="D35" s="23">
        <v>292632.99</v>
      </c>
      <c r="E35" s="68">
        <v>292062.38</v>
      </c>
    </row>
    <row r="36" spans="1:7" x14ac:dyDescent="0.3">
      <c r="A36" s="25" t="s">
        <v>14</v>
      </c>
      <c r="B36" s="23">
        <f>B35/B34*52</f>
        <v>19001.802347066168</v>
      </c>
      <c r="C36" s="23">
        <f>C35/C34*52</f>
        <v>19156.425161290324</v>
      </c>
      <c r="D36" s="23">
        <f>D35/D34*52</f>
        <v>18557.214</v>
      </c>
      <c r="E36" s="68">
        <f>E35/E34*52</f>
        <v>18386.493656174334</v>
      </c>
    </row>
    <row r="37" spans="1:7" x14ac:dyDescent="0.3">
      <c r="A37" s="25" t="s">
        <v>15</v>
      </c>
      <c r="B37" s="23">
        <f>B35*52</f>
        <v>15220443.680000002</v>
      </c>
      <c r="C37" s="23">
        <f>C35*52</f>
        <v>15440078.680000002</v>
      </c>
      <c r="D37" s="23">
        <f>D35*52</f>
        <v>15216915.48</v>
      </c>
      <c r="E37" s="68">
        <f>E35*52</f>
        <v>15187243.76</v>
      </c>
      <c r="G37" s="84"/>
    </row>
    <row r="38" spans="1:7" ht="14.5" thickBot="1" x14ac:dyDescent="0.35">
      <c r="A38" s="34" t="s">
        <v>16</v>
      </c>
      <c r="B38" s="24">
        <v>929</v>
      </c>
      <c r="C38" s="24">
        <v>947</v>
      </c>
      <c r="D38" s="24">
        <v>958</v>
      </c>
      <c r="E38" s="70">
        <v>993</v>
      </c>
    </row>
    <row r="39" spans="1:7" x14ac:dyDescent="0.3">
      <c r="A39" s="112" t="s">
        <v>31</v>
      </c>
      <c r="B39" s="46">
        <v>503</v>
      </c>
      <c r="C39" s="46">
        <v>525</v>
      </c>
      <c r="D39" s="46">
        <v>553</v>
      </c>
      <c r="E39" s="113">
        <v>541</v>
      </c>
      <c r="F39" s="51"/>
    </row>
    <row r="40" spans="1:7" x14ac:dyDescent="0.3">
      <c r="A40" s="25" t="s">
        <v>32</v>
      </c>
      <c r="B40" s="15">
        <v>169</v>
      </c>
      <c r="C40" s="15">
        <v>174</v>
      </c>
      <c r="D40" s="15">
        <v>186</v>
      </c>
      <c r="E40" s="69">
        <v>190</v>
      </c>
      <c r="F40" s="51"/>
    </row>
    <row r="41" spans="1:7" x14ac:dyDescent="0.3">
      <c r="A41" s="78" t="s">
        <v>19</v>
      </c>
      <c r="B41" s="122">
        <f>B40/B39</f>
        <v>0.3359840954274354</v>
      </c>
      <c r="C41" s="122">
        <f t="shared" ref="C41:E41" si="2">C40/C39</f>
        <v>0.33142857142857141</v>
      </c>
      <c r="D41" s="122">
        <f t="shared" si="2"/>
        <v>0.33634719710669075</v>
      </c>
      <c r="E41" s="185">
        <f t="shared" si="2"/>
        <v>0.3512014787430684</v>
      </c>
      <c r="F41" s="51"/>
    </row>
    <row r="42" spans="1:7" ht="14.5" thickBot="1" x14ac:dyDescent="0.35">
      <c r="A42" s="34" t="s">
        <v>33</v>
      </c>
      <c r="B42" s="24">
        <v>46</v>
      </c>
      <c r="C42" s="24">
        <v>46</v>
      </c>
      <c r="D42" s="24">
        <v>47</v>
      </c>
      <c r="E42" s="70">
        <v>65</v>
      </c>
      <c r="F42" s="51"/>
    </row>
    <row r="43" spans="1:7" x14ac:dyDescent="0.3">
      <c r="A43" s="112" t="s">
        <v>34</v>
      </c>
      <c r="B43" s="46">
        <v>127</v>
      </c>
      <c r="C43" s="46">
        <v>130</v>
      </c>
      <c r="D43" s="46">
        <v>131</v>
      </c>
      <c r="E43" s="113">
        <v>137</v>
      </c>
      <c r="F43" s="51"/>
    </row>
    <row r="44" spans="1:7" x14ac:dyDescent="0.3">
      <c r="A44" s="25" t="s">
        <v>35</v>
      </c>
      <c r="B44" s="15">
        <v>27</v>
      </c>
      <c r="C44" s="15">
        <v>33</v>
      </c>
      <c r="D44" s="15">
        <v>38</v>
      </c>
      <c r="E44" s="69">
        <v>45</v>
      </c>
    </row>
    <row r="45" spans="1:7" x14ac:dyDescent="0.3">
      <c r="A45" s="25" t="s">
        <v>36</v>
      </c>
      <c r="B45" s="15">
        <v>17</v>
      </c>
      <c r="C45" s="15">
        <v>24</v>
      </c>
      <c r="D45" s="15">
        <v>22</v>
      </c>
      <c r="E45" s="69">
        <v>25</v>
      </c>
      <c r="F45" s="51"/>
    </row>
    <row r="46" spans="1:7" x14ac:dyDescent="0.3">
      <c r="A46" s="25" t="s">
        <v>37</v>
      </c>
      <c r="B46" s="15">
        <v>8</v>
      </c>
      <c r="C46" s="15">
        <v>9</v>
      </c>
      <c r="D46" s="15">
        <v>11</v>
      </c>
      <c r="E46" s="69">
        <v>14</v>
      </c>
      <c r="F46" s="51"/>
    </row>
    <row r="47" spans="1:7" ht="14.5" thickBot="1" x14ac:dyDescent="0.35">
      <c r="A47" s="34" t="s">
        <v>25</v>
      </c>
      <c r="B47" s="143">
        <f>(B46+B45+B43)/(B34-B48)</f>
        <v>0.21683309557774608</v>
      </c>
      <c r="C47" s="143">
        <f t="shared" ref="C47:E47" si="3">(C46+C45+C43)/(C34-C48)</f>
        <v>0.22207084468664851</v>
      </c>
      <c r="D47" s="143">
        <f t="shared" si="3"/>
        <v>0.21465968586387435</v>
      </c>
      <c r="E47" s="184">
        <f t="shared" si="3"/>
        <v>0.22506393861892582</v>
      </c>
      <c r="F47" s="51"/>
    </row>
    <row r="48" spans="1:7" ht="14.5" thickBot="1" x14ac:dyDescent="0.35">
      <c r="A48" s="115" t="s">
        <v>26</v>
      </c>
      <c r="B48" s="118">
        <v>100</v>
      </c>
      <c r="C48" s="118">
        <v>72</v>
      </c>
      <c r="D48" s="118">
        <v>56</v>
      </c>
      <c r="E48" s="119">
        <v>44</v>
      </c>
      <c r="F48" s="51"/>
    </row>
    <row r="49" spans="1:5" x14ac:dyDescent="0.3">
      <c r="A49" s="112" t="s">
        <v>27</v>
      </c>
      <c r="B49" s="46">
        <v>562</v>
      </c>
      <c r="C49" s="46">
        <v>437</v>
      </c>
      <c r="D49" s="46">
        <v>413</v>
      </c>
      <c r="E49" s="113">
        <v>407</v>
      </c>
    </row>
    <row r="50" spans="1:5" x14ac:dyDescent="0.3">
      <c r="A50" s="25" t="s">
        <v>28</v>
      </c>
      <c r="B50" s="15">
        <v>119</v>
      </c>
      <c r="C50" s="15">
        <v>94</v>
      </c>
      <c r="D50" s="15">
        <v>117</v>
      </c>
      <c r="E50" s="69">
        <v>69</v>
      </c>
    </row>
    <row r="51" spans="1:5" ht="14.5" thickBot="1" x14ac:dyDescent="0.35">
      <c r="A51" s="34" t="s">
        <v>29</v>
      </c>
      <c r="B51" s="24">
        <v>89</v>
      </c>
      <c r="C51" s="24">
        <v>93</v>
      </c>
      <c r="D51" s="24">
        <v>102</v>
      </c>
      <c r="E51" s="70">
        <v>71</v>
      </c>
    </row>
    <row r="54" spans="1:5" ht="14.5" thickBot="1" x14ac:dyDescent="0.35"/>
    <row r="55" spans="1:5" x14ac:dyDescent="0.3">
      <c r="A55" s="26" t="s">
        <v>38</v>
      </c>
      <c r="B55" s="9" t="s">
        <v>1</v>
      </c>
      <c r="C55" s="9" t="s">
        <v>2</v>
      </c>
      <c r="D55" s="9" t="s">
        <v>3</v>
      </c>
      <c r="E55" s="58" t="s">
        <v>4</v>
      </c>
    </row>
    <row r="56" spans="1:5" x14ac:dyDescent="0.3">
      <c r="A56" s="25" t="s">
        <v>39</v>
      </c>
      <c r="B56" s="15">
        <v>2578</v>
      </c>
      <c r="C56" s="15">
        <v>2641</v>
      </c>
      <c r="D56" s="15">
        <v>3061</v>
      </c>
      <c r="E56" s="69">
        <v>2958</v>
      </c>
    </row>
    <row r="57" spans="1:5" x14ac:dyDescent="0.3">
      <c r="A57" s="25" t="s">
        <v>40</v>
      </c>
      <c r="B57" s="15">
        <v>476</v>
      </c>
      <c r="C57" s="15">
        <v>492</v>
      </c>
      <c r="D57" s="15">
        <v>750</v>
      </c>
      <c r="E57" s="69">
        <v>593</v>
      </c>
    </row>
    <row r="58" spans="1:5" x14ac:dyDescent="0.3">
      <c r="A58" s="25" t="s">
        <v>41</v>
      </c>
      <c r="B58" s="15">
        <v>1334</v>
      </c>
      <c r="C58" s="15">
        <v>1323</v>
      </c>
      <c r="D58" s="15">
        <v>1383</v>
      </c>
      <c r="E58" s="69">
        <v>1362</v>
      </c>
    </row>
    <row r="59" spans="1:5" ht="14.5" thickBot="1" x14ac:dyDescent="0.35">
      <c r="A59" s="34" t="s">
        <v>42</v>
      </c>
      <c r="B59" s="24">
        <v>768</v>
      </c>
      <c r="C59" s="24">
        <v>826</v>
      </c>
      <c r="D59" s="24">
        <v>928</v>
      </c>
      <c r="E59" s="70">
        <v>1003</v>
      </c>
    </row>
    <row r="60" spans="1:5" x14ac:dyDescent="0.3">
      <c r="A60" s="112" t="s">
        <v>43</v>
      </c>
      <c r="B60" s="46">
        <v>942</v>
      </c>
      <c r="C60" s="46">
        <v>954</v>
      </c>
      <c r="D60" s="46">
        <v>953</v>
      </c>
      <c r="E60" s="113">
        <v>947</v>
      </c>
    </row>
    <row r="61" spans="1:5" x14ac:dyDescent="0.3">
      <c r="A61" s="25" t="s">
        <v>44</v>
      </c>
      <c r="B61" s="23">
        <v>370498.07</v>
      </c>
      <c r="C61" s="23">
        <v>384184.17</v>
      </c>
      <c r="D61" s="23">
        <v>395712.48</v>
      </c>
      <c r="E61" s="68">
        <v>391508.45</v>
      </c>
    </row>
    <row r="62" spans="1:5" x14ac:dyDescent="0.3">
      <c r="A62" s="25" t="s">
        <v>14</v>
      </c>
      <c r="B62" s="23">
        <f>B61/B60*52</f>
        <v>20452.122760084927</v>
      </c>
      <c r="C62" s="23">
        <f>C61/C60*52</f>
        <v>20940.856226415093</v>
      </c>
      <c r="D62" s="23">
        <f>D61/D60*52</f>
        <v>21591.866694648477</v>
      </c>
      <c r="E62" s="68">
        <v>21497.82</v>
      </c>
    </row>
    <row r="63" spans="1:5" ht="14.5" thickBot="1" x14ac:dyDescent="0.35">
      <c r="A63" s="34" t="s">
        <v>15</v>
      </c>
      <c r="B63" s="120">
        <f>B61*52</f>
        <v>19265899.640000001</v>
      </c>
      <c r="C63" s="120">
        <f>C61*52</f>
        <v>19977576.84</v>
      </c>
      <c r="D63" s="120">
        <f>D61*52</f>
        <v>20577048.960000001</v>
      </c>
      <c r="E63" s="121">
        <f>E61*52</f>
        <v>20358439.400000002</v>
      </c>
    </row>
    <row r="64" spans="1:5" x14ac:dyDescent="0.3">
      <c r="A64" s="112" t="s">
        <v>45</v>
      </c>
      <c r="B64" s="46">
        <v>51</v>
      </c>
      <c r="C64" s="46">
        <v>62</v>
      </c>
      <c r="D64" s="46">
        <v>59</v>
      </c>
      <c r="E64" s="113">
        <v>35</v>
      </c>
    </row>
    <row r="65" spans="1:6" x14ac:dyDescent="0.3">
      <c r="A65" s="78" t="s">
        <v>46</v>
      </c>
      <c r="B65" s="35">
        <v>202</v>
      </c>
      <c r="C65" s="35">
        <v>181</v>
      </c>
      <c r="D65" s="97">
        <v>195</v>
      </c>
      <c r="E65" s="98">
        <v>360</v>
      </c>
    </row>
    <row r="66" spans="1:6" ht="14.5" thickBot="1" x14ac:dyDescent="0.35">
      <c r="A66" s="34" t="s">
        <v>47</v>
      </c>
      <c r="B66" s="24">
        <v>100</v>
      </c>
      <c r="C66" s="24">
        <v>94</v>
      </c>
      <c r="D66" s="24">
        <v>99</v>
      </c>
      <c r="E66" s="70">
        <v>90</v>
      </c>
    </row>
    <row r="67" spans="1:6" x14ac:dyDescent="0.3">
      <c r="A67" s="104"/>
      <c r="B67" s="37"/>
      <c r="C67" s="37"/>
      <c r="D67" s="37"/>
      <c r="E67" s="37"/>
    </row>
    <row r="68" spans="1:6" x14ac:dyDescent="0.3">
      <c r="A68" s="104"/>
      <c r="B68" s="37"/>
      <c r="C68" s="37"/>
      <c r="D68" s="37"/>
      <c r="E68" s="37"/>
    </row>
    <row r="69" spans="1:6" x14ac:dyDescent="0.3">
      <c r="A69" s="104"/>
      <c r="B69" s="37"/>
      <c r="C69" s="37"/>
      <c r="D69" s="37"/>
      <c r="E69" s="37"/>
    </row>
    <row r="70" spans="1:6" x14ac:dyDescent="0.3">
      <c r="A70" s="104"/>
      <c r="B70" s="37"/>
      <c r="C70" s="37"/>
      <c r="D70" s="37"/>
      <c r="E70" s="37"/>
    </row>
    <row r="71" spans="1:6" x14ac:dyDescent="0.3">
      <c r="A71" s="104"/>
      <c r="B71" s="37"/>
      <c r="C71" s="37"/>
      <c r="D71" s="37"/>
      <c r="E71" s="37"/>
    </row>
    <row r="72" spans="1:6" x14ac:dyDescent="0.3">
      <c r="A72" s="104"/>
      <c r="B72" s="37"/>
      <c r="C72" s="37"/>
      <c r="D72" s="37"/>
      <c r="E72" s="37"/>
    </row>
    <row r="73" spans="1:6" x14ac:dyDescent="0.3">
      <c r="A73" s="104"/>
      <c r="B73" s="37"/>
      <c r="C73" s="37"/>
      <c r="D73" s="37"/>
      <c r="E73" s="37"/>
    </row>
    <row r="74" spans="1:6" ht="14.5" thickBot="1" x14ac:dyDescent="0.35">
      <c r="A74" s="11"/>
    </row>
    <row r="75" spans="1:6" x14ac:dyDescent="0.3">
      <c r="A75" s="190" t="s">
        <v>48</v>
      </c>
      <c r="B75" s="73" t="s">
        <v>49</v>
      </c>
      <c r="C75" s="191" t="s">
        <v>50</v>
      </c>
    </row>
    <row r="76" spans="1:6" x14ac:dyDescent="0.3">
      <c r="A76" s="10" t="s">
        <v>51</v>
      </c>
      <c r="B76" s="123">
        <v>51</v>
      </c>
      <c r="C76" s="171">
        <f>B76/1210</f>
        <v>4.2148760330578509E-2</v>
      </c>
    </row>
    <row r="77" spans="1:6" x14ac:dyDescent="0.3">
      <c r="A77" s="10" t="s">
        <v>52</v>
      </c>
      <c r="B77" s="123">
        <v>1</v>
      </c>
      <c r="C77" s="171">
        <f t="shared" ref="C77:C82" si="4">B77/1210</f>
        <v>8.2644628099173552E-4</v>
      </c>
    </row>
    <row r="78" spans="1:6" x14ac:dyDescent="0.3">
      <c r="A78" s="10" t="s">
        <v>53</v>
      </c>
      <c r="B78" s="123">
        <v>2</v>
      </c>
      <c r="C78" s="171">
        <f t="shared" si="4"/>
        <v>1.652892561983471E-3</v>
      </c>
    </row>
    <row r="79" spans="1:6" x14ac:dyDescent="0.3">
      <c r="A79" s="10" t="s">
        <v>54</v>
      </c>
      <c r="B79" s="123">
        <v>856</v>
      </c>
      <c r="C79" s="171">
        <f t="shared" si="4"/>
        <v>0.70743801652892557</v>
      </c>
    </row>
    <row r="80" spans="1:6" x14ac:dyDescent="0.3">
      <c r="A80" s="10" t="s">
        <v>55</v>
      </c>
      <c r="B80" s="123">
        <v>146</v>
      </c>
      <c r="C80" s="171">
        <f t="shared" si="4"/>
        <v>0.12066115702479339</v>
      </c>
      <c r="F80" s="84"/>
    </row>
    <row r="81" spans="1:5" x14ac:dyDescent="0.3">
      <c r="A81" s="10" t="s">
        <v>56</v>
      </c>
      <c r="B81" s="123">
        <v>23</v>
      </c>
      <c r="C81" s="171">
        <f t="shared" si="4"/>
        <v>1.9008264462809916E-2</v>
      </c>
    </row>
    <row r="82" spans="1:5" x14ac:dyDescent="0.3">
      <c r="A82" s="10" t="s">
        <v>57</v>
      </c>
      <c r="B82" s="123">
        <v>131</v>
      </c>
      <c r="C82" s="171">
        <f t="shared" si="4"/>
        <v>0.10826446280991736</v>
      </c>
    </row>
    <row r="83" spans="1:5" ht="14.5" thickBot="1" x14ac:dyDescent="0.35">
      <c r="A83" s="192" t="s">
        <v>49</v>
      </c>
      <c r="B83" s="193">
        <f>SUM(B76:B82)</f>
        <v>1210</v>
      </c>
      <c r="C83" s="194">
        <f>SUM(C76:C82)</f>
        <v>1</v>
      </c>
    </row>
    <row r="84" spans="1:5" x14ac:dyDescent="0.3">
      <c r="A84" s="174"/>
      <c r="B84" s="174"/>
      <c r="C84" s="175"/>
    </row>
    <row r="85" spans="1:5" ht="14.25" customHeight="1" thickBot="1" x14ac:dyDescent="0.35">
      <c r="A85" s="111"/>
      <c r="B85" s="111"/>
      <c r="C85" s="37"/>
      <c r="D85" s="80"/>
    </row>
    <row r="86" spans="1:5" ht="14.25" customHeight="1" x14ac:dyDescent="0.3">
      <c r="A86" s="232" t="s">
        <v>58</v>
      </c>
      <c r="B86" s="233" t="s">
        <v>49</v>
      </c>
      <c r="C86" s="234" t="s">
        <v>50</v>
      </c>
      <c r="D86" s="80"/>
    </row>
    <row r="87" spans="1:5" ht="14.25" customHeight="1" x14ac:dyDescent="0.3">
      <c r="A87" s="195" t="s">
        <v>59</v>
      </c>
      <c r="B87" s="124">
        <v>37</v>
      </c>
      <c r="C87" s="196">
        <f>B87/131</f>
        <v>0.28244274809160308</v>
      </c>
      <c r="D87" s="80"/>
    </row>
    <row r="88" spans="1:5" ht="14.25" customHeight="1" x14ac:dyDescent="0.3">
      <c r="A88" s="195" t="s">
        <v>60</v>
      </c>
      <c r="B88" s="124">
        <v>27</v>
      </c>
      <c r="C88" s="196">
        <f t="shared" ref="C88:C91" si="5">B88/131</f>
        <v>0.20610687022900764</v>
      </c>
      <c r="D88" s="80"/>
    </row>
    <row r="89" spans="1:5" ht="14.25" customHeight="1" x14ac:dyDescent="0.3">
      <c r="A89" s="195" t="s">
        <v>61</v>
      </c>
      <c r="B89" s="124">
        <v>8</v>
      </c>
      <c r="C89" s="196">
        <f t="shared" si="5"/>
        <v>6.1068702290076333E-2</v>
      </c>
      <c r="D89" s="80"/>
    </row>
    <row r="90" spans="1:5" ht="14.25" customHeight="1" x14ac:dyDescent="0.3">
      <c r="A90" s="195" t="s">
        <v>62</v>
      </c>
      <c r="B90" s="124">
        <v>26</v>
      </c>
      <c r="C90" s="196">
        <f t="shared" si="5"/>
        <v>0.19847328244274809</v>
      </c>
      <c r="D90" s="80"/>
    </row>
    <row r="91" spans="1:5" ht="14.25" customHeight="1" x14ac:dyDescent="0.3">
      <c r="A91" s="195" t="s">
        <v>63</v>
      </c>
      <c r="B91" s="124">
        <v>33</v>
      </c>
      <c r="C91" s="196">
        <f t="shared" si="5"/>
        <v>0.25190839694656486</v>
      </c>
      <c r="D91" s="80"/>
    </row>
    <row r="92" spans="1:5" ht="14.5" thickBot="1" x14ac:dyDescent="0.35">
      <c r="A92" s="197" t="s">
        <v>49</v>
      </c>
      <c r="B92" s="198">
        <f>SUM(B87:B91)</f>
        <v>131</v>
      </c>
      <c r="C92" s="218">
        <f>SUM(C87:C91)</f>
        <v>1</v>
      </c>
      <c r="D92" s="17"/>
    </row>
    <row r="93" spans="1:5" x14ac:dyDescent="0.3">
      <c r="A93" s="176"/>
      <c r="B93" s="177"/>
      <c r="C93" s="178"/>
      <c r="D93" s="170"/>
      <c r="E93" s="174"/>
    </row>
    <row r="94" spans="1:5" x14ac:dyDescent="0.3">
      <c r="A94" s="176"/>
      <c r="B94" s="177"/>
      <c r="C94" s="178"/>
      <c r="D94" s="170"/>
      <c r="E94" s="174"/>
    </row>
    <row r="95" spans="1:5" x14ac:dyDescent="0.3">
      <c r="A95" s="176"/>
      <c r="B95" s="177"/>
      <c r="C95" s="178"/>
      <c r="D95" s="170"/>
      <c r="E95" s="174"/>
    </row>
    <row r="96" spans="1:5" x14ac:dyDescent="0.3">
      <c r="A96" s="176"/>
      <c r="B96" s="177"/>
      <c r="C96" s="178"/>
      <c r="D96" s="170"/>
    </row>
    <row r="97" spans="1:4" x14ac:dyDescent="0.3">
      <c r="A97" s="201" t="s">
        <v>64</v>
      </c>
      <c r="B97" s="202" t="s">
        <v>49</v>
      </c>
      <c r="C97" s="203" t="s">
        <v>50</v>
      </c>
      <c r="D97" s="2"/>
    </row>
    <row r="98" spans="1:4" x14ac:dyDescent="0.3">
      <c r="A98" s="10" t="s">
        <v>51</v>
      </c>
      <c r="B98" s="125">
        <v>13</v>
      </c>
      <c r="C98" s="216">
        <v>0.04</v>
      </c>
      <c r="D98" s="2"/>
    </row>
    <row r="99" spans="1:4" x14ac:dyDescent="0.3">
      <c r="A99" s="204" t="s">
        <v>52</v>
      </c>
      <c r="B99" s="126">
        <v>23</v>
      </c>
      <c r="C99" s="216">
        <v>0.06</v>
      </c>
      <c r="D99" s="2"/>
    </row>
    <row r="100" spans="1:4" x14ac:dyDescent="0.3">
      <c r="A100" s="204" t="s">
        <v>53</v>
      </c>
      <c r="B100" s="126">
        <v>2</v>
      </c>
      <c r="C100" s="216">
        <v>0.01</v>
      </c>
      <c r="D100" s="2"/>
    </row>
    <row r="101" spans="1:4" x14ac:dyDescent="0.3">
      <c r="A101" s="204" t="s">
        <v>54</v>
      </c>
      <c r="B101" s="126">
        <v>156</v>
      </c>
      <c r="C101" s="216">
        <v>0.44</v>
      </c>
      <c r="D101" s="2"/>
    </row>
    <row r="102" spans="1:4" x14ac:dyDescent="0.3">
      <c r="A102" s="204" t="s">
        <v>55</v>
      </c>
      <c r="B102" s="126">
        <v>57</v>
      </c>
      <c r="C102" s="216">
        <v>0.16</v>
      </c>
      <c r="D102" s="2"/>
    </row>
    <row r="103" spans="1:4" x14ac:dyDescent="0.3">
      <c r="A103" s="204" t="s">
        <v>56</v>
      </c>
      <c r="B103" s="126">
        <v>25</v>
      </c>
      <c r="C103" s="216">
        <v>7.0000000000000007E-2</v>
      </c>
      <c r="D103" s="2"/>
    </row>
    <row r="104" spans="1:4" x14ac:dyDescent="0.3">
      <c r="A104" s="204" t="s">
        <v>57</v>
      </c>
      <c r="B104" s="126">
        <v>79</v>
      </c>
      <c r="C104" s="216">
        <v>0.22</v>
      </c>
      <c r="D104" s="2"/>
    </row>
    <row r="105" spans="1:4" ht="14.5" thickBot="1" x14ac:dyDescent="0.35">
      <c r="A105" s="205" t="s">
        <v>49</v>
      </c>
      <c r="B105" s="206">
        <v>355</v>
      </c>
      <c r="C105" s="217">
        <v>1</v>
      </c>
      <c r="D105" s="2"/>
    </row>
    <row r="106" spans="1:4" x14ac:dyDescent="0.3">
      <c r="A106" s="179"/>
      <c r="B106" s="179"/>
      <c r="C106" s="180"/>
      <c r="D106" s="181"/>
    </row>
    <row r="107" spans="1:4" ht="14.5" thickBot="1" x14ac:dyDescent="0.35">
      <c r="A107" s="179"/>
      <c r="B107" s="179"/>
      <c r="C107" s="180"/>
      <c r="D107" s="181"/>
    </row>
    <row r="108" spans="1:4" x14ac:dyDescent="0.3">
      <c r="A108" s="235" t="s">
        <v>65</v>
      </c>
      <c r="B108" s="236" t="s">
        <v>49</v>
      </c>
      <c r="C108" s="237" t="s">
        <v>50</v>
      </c>
      <c r="D108" s="2"/>
    </row>
    <row r="109" spans="1:4" x14ac:dyDescent="0.3">
      <c r="A109" s="210" t="s">
        <v>59</v>
      </c>
      <c r="B109" s="130">
        <v>20</v>
      </c>
      <c r="C109" s="211">
        <v>0.25</v>
      </c>
      <c r="D109" s="2"/>
    </row>
    <row r="110" spans="1:4" x14ac:dyDescent="0.3">
      <c r="A110" s="212" t="s">
        <v>60</v>
      </c>
      <c r="B110" s="133">
        <v>15</v>
      </c>
      <c r="C110" s="213">
        <v>0.19</v>
      </c>
      <c r="D110" s="2"/>
    </row>
    <row r="111" spans="1:4" x14ac:dyDescent="0.3">
      <c r="A111" s="212" t="s">
        <v>61</v>
      </c>
      <c r="B111" s="133">
        <v>7</v>
      </c>
      <c r="C111" s="213">
        <v>0.09</v>
      </c>
      <c r="D111" s="2"/>
    </row>
    <row r="112" spans="1:4" x14ac:dyDescent="0.3">
      <c r="A112" s="212" t="s">
        <v>62</v>
      </c>
      <c r="B112" s="133">
        <v>20</v>
      </c>
      <c r="C112" s="213">
        <v>0.25</v>
      </c>
      <c r="D112" s="2"/>
    </row>
    <row r="113" spans="1:8" x14ac:dyDescent="0.3">
      <c r="A113" s="212" t="s">
        <v>63</v>
      </c>
      <c r="B113" s="133">
        <v>17</v>
      </c>
      <c r="C113" s="213">
        <v>0.22</v>
      </c>
      <c r="D113" s="2"/>
    </row>
    <row r="114" spans="1:8" ht="14.5" thickBot="1" x14ac:dyDescent="0.35">
      <c r="A114" s="214" t="s">
        <v>49</v>
      </c>
      <c r="B114" s="206">
        <v>79</v>
      </c>
      <c r="C114" s="215">
        <v>1</v>
      </c>
      <c r="D114" s="2"/>
    </row>
    <row r="115" spans="1:8" x14ac:dyDescent="0.3">
      <c r="A115" s="182"/>
      <c r="B115" s="179"/>
      <c r="C115" s="183"/>
      <c r="D115" s="181"/>
    </row>
    <row r="116" spans="1:8" x14ac:dyDescent="0.3">
      <c r="A116" s="182"/>
      <c r="B116" s="179"/>
      <c r="C116" s="183"/>
      <c r="D116" s="181"/>
    </row>
    <row r="117" spans="1:8" x14ac:dyDescent="0.3">
      <c r="A117" s="248" t="s">
        <v>66</v>
      </c>
      <c r="B117" s="179"/>
      <c r="C117" s="183"/>
      <c r="D117" s="181"/>
    </row>
    <row r="118" spans="1:8" x14ac:dyDescent="0.3">
      <c r="A118" s="182"/>
      <c r="B118" s="179"/>
      <c r="C118" s="183"/>
      <c r="D118" s="181"/>
    </row>
    <row r="119" spans="1:8" ht="14.25" customHeight="1" x14ac:dyDescent="0.3">
      <c r="A119" s="49" t="s">
        <v>67</v>
      </c>
      <c r="B119" s="73" t="s">
        <v>68</v>
      </c>
      <c r="C119" s="79" t="s">
        <v>49</v>
      </c>
      <c r="D119" s="74" t="s">
        <v>50</v>
      </c>
      <c r="F119" s="163" t="s">
        <v>69</v>
      </c>
      <c r="G119" s="164" t="s">
        <v>70</v>
      </c>
      <c r="H119" s="165" t="s">
        <v>50</v>
      </c>
    </row>
    <row r="120" spans="1:8" x14ac:dyDescent="0.3">
      <c r="A120" s="25" t="s">
        <v>71</v>
      </c>
      <c r="B120" s="15" t="s">
        <v>72</v>
      </c>
      <c r="C120" s="15">
        <v>76</v>
      </c>
      <c r="D120" s="162">
        <f>C120/1576</f>
        <v>4.8223350253807105E-2</v>
      </c>
      <c r="F120" s="25" t="s">
        <v>72</v>
      </c>
      <c r="G120" s="15">
        <v>215</v>
      </c>
      <c r="H120" s="162">
        <f>G120/1576</f>
        <v>0.13642131979695432</v>
      </c>
    </row>
    <row r="121" spans="1:8" x14ac:dyDescent="0.3">
      <c r="A121" s="25" t="s">
        <v>73</v>
      </c>
      <c r="B121" s="15" t="s">
        <v>72</v>
      </c>
      <c r="C121" s="15">
        <v>15</v>
      </c>
      <c r="D121" s="162">
        <f t="shared" ref="D121:D152" si="6">C121/1576</f>
        <v>9.5177664974619297E-3</v>
      </c>
      <c r="F121" s="25" t="s">
        <v>74</v>
      </c>
      <c r="G121" s="15">
        <v>10</v>
      </c>
      <c r="H121" s="162">
        <f t="shared" ref="H121:H125" si="7">G121/1576</f>
        <v>6.3451776649746192E-3</v>
      </c>
    </row>
    <row r="122" spans="1:8" x14ac:dyDescent="0.3">
      <c r="A122" s="25" t="s">
        <v>75</v>
      </c>
      <c r="B122" s="15" t="s">
        <v>72</v>
      </c>
      <c r="C122" s="15">
        <v>106</v>
      </c>
      <c r="D122" s="162">
        <f t="shared" si="6"/>
        <v>6.7258883248730958E-2</v>
      </c>
      <c r="F122" s="96" t="s">
        <v>76</v>
      </c>
      <c r="G122" s="48">
        <v>320</v>
      </c>
      <c r="H122" s="162">
        <f t="shared" si="7"/>
        <v>0.20304568527918782</v>
      </c>
    </row>
    <row r="123" spans="1:8" x14ac:dyDescent="0.3">
      <c r="A123" s="25" t="s">
        <v>77</v>
      </c>
      <c r="B123" s="15" t="s">
        <v>72</v>
      </c>
      <c r="C123" s="15">
        <v>18</v>
      </c>
      <c r="D123" s="162">
        <f t="shared" si="6"/>
        <v>1.1421319796954314E-2</v>
      </c>
      <c r="F123" s="25" t="s">
        <v>78</v>
      </c>
      <c r="G123" s="15">
        <v>143</v>
      </c>
      <c r="H123" s="162">
        <f t="shared" si="7"/>
        <v>9.073604060913705E-2</v>
      </c>
    </row>
    <row r="124" spans="1:8" x14ac:dyDescent="0.3">
      <c r="A124" s="25" t="s">
        <v>74</v>
      </c>
      <c r="B124" s="15" t="s">
        <v>74</v>
      </c>
      <c r="C124" s="15">
        <v>10</v>
      </c>
      <c r="D124" s="162">
        <f t="shared" si="6"/>
        <v>6.3451776649746192E-3</v>
      </c>
      <c r="F124" s="25" t="s">
        <v>79</v>
      </c>
      <c r="G124" s="15">
        <v>240</v>
      </c>
      <c r="H124" s="162">
        <f t="shared" si="7"/>
        <v>0.15228426395939088</v>
      </c>
    </row>
    <row r="125" spans="1:8" ht="14.5" thickBot="1" x14ac:dyDescent="0.35">
      <c r="A125" s="25" t="s">
        <v>80</v>
      </c>
      <c r="B125" s="15" t="s">
        <v>76</v>
      </c>
      <c r="C125" s="15">
        <v>25</v>
      </c>
      <c r="D125" s="162">
        <f t="shared" si="6"/>
        <v>1.5862944162436547E-2</v>
      </c>
      <c r="F125" s="34" t="s">
        <v>81</v>
      </c>
      <c r="G125" s="24">
        <v>648</v>
      </c>
      <c r="H125" s="184">
        <f t="shared" si="7"/>
        <v>0.41116751269035534</v>
      </c>
    </row>
    <row r="126" spans="1:8" x14ac:dyDescent="0.3">
      <c r="A126" s="25" t="s">
        <v>82</v>
      </c>
      <c r="B126" s="15" t="s">
        <v>76</v>
      </c>
      <c r="C126" s="15">
        <v>4</v>
      </c>
      <c r="D126" s="162">
        <f t="shared" si="6"/>
        <v>2.5380710659898475E-3</v>
      </c>
      <c r="F126" s="13"/>
      <c r="G126" s="13"/>
      <c r="H126" s="17"/>
    </row>
    <row r="127" spans="1:8" x14ac:dyDescent="0.3">
      <c r="A127" s="25" t="s">
        <v>83</v>
      </c>
      <c r="B127" s="15" t="s">
        <v>76</v>
      </c>
      <c r="C127" s="15">
        <v>6</v>
      </c>
      <c r="D127" s="162">
        <f t="shared" si="6"/>
        <v>3.8071065989847717E-3</v>
      </c>
      <c r="F127" s="13"/>
      <c r="G127" s="13"/>
      <c r="H127" s="17"/>
    </row>
    <row r="128" spans="1:8" x14ac:dyDescent="0.3">
      <c r="A128" s="25" t="s">
        <v>84</v>
      </c>
      <c r="B128" s="15" t="s">
        <v>76</v>
      </c>
      <c r="C128" s="15">
        <v>1</v>
      </c>
      <c r="D128" s="162">
        <f t="shared" si="6"/>
        <v>6.3451776649746188E-4</v>
      </c>
      <c r="F128" s="94"/>
      <c r="G128" s="94"/>
      <c r="H128" s="95"/>
    </row>
    <row r="129" spans="1:8" x14ac:dyDescent="0.3">
      <c r="A129" s="25" t="s">
        <v>85</v>
      </c>
      <c r="B129" s="15" t="s">
        <v>76</v>
      </c>
      <c r="C129" s="15">
        <v>17</v>
      </c>
      <c r="D129" s="162">
        <f t="shared" si="6"/>
        <v>1.0786802030456852E-2</v>
      </c>
      <c r="F129" s="13"/>
      <c r="G129" s="13"/>
      <c r="H129" s="13"/>
    </row>
    <row r="130" spans="1:8" x14ac:dyDescent="0.3">
      <c r="A130" s="25" t="s">
        <v>86</v>
      </c>
      <c r="B130" s="15" t="s">
        <v>76</v>
      </c>
      <c r="C130" s="15">
        <v>17</v>
      </c>
      <c r="D130" s="162">
        <f t="shared" si="6"/>
        <v>1.0786802030456852E-2</v>
      </c>
      <c r="F130" s="13"/>
      <c r="G130" s="13"/>
      <c r="H130" s="13"/>
    </row>
    <row r="131" spans="1:8" x14ac:dyDescent="0.3">
      <c r="A131" s="25" t="s">
        <v>87</v>
      </c>
      <c r="B131" s="15" t="s">
        <v>76</v>
      </c>
      <c r="C131" s="15">
        <v>30</v>
      </c>
      <c r="D131" s="162">
        <f t="shared" si="6"/>
        <v>1.9035532994923859E-2</v>
      </c>
      <c r="F131" s="13"/>
      <c r="G131" s="13"/>
      <c r="H131" s="13"/>
    </row>
    <row r="132" spans="1:8" x14ac:dyDescent="0.3">
      <c r="A132" s="25" t="s">
        <v>88</v>
      </c>
      <c r="B132" s="15" t="s">
        <v>76</v>
      </c>
      <c r="C132" s="15">
        <v>1</v>
      </c>
      <c r="D132" s="162">
        <f t="shared" si="6"/>
        <v>6.3451776649746188E-4</v>
      </c>
      <c r="F132" s="37"/>
      <c r="G132" s="13"/>
      <c r="H132" s="17"/>
    </row>
    <row r="133" spans="1:8" x14ac:dyDescent="0.3">
      <c r="A133" s="25" t="s">
        <v>89</v>
      </c>
      <c r="B133" s="15" t="s">
        <v>76</v>
      </c>
      <c r="C133" s="15">
        <v>7</v>
      </c>
      <c r="D133" s="162">
        <f t="shared" si="6"/>
        <v>4.4416243654822338E-3</v>
      </c>
      <c r="G133" s="13"/>
      <c r="H133" s="17"/>
    </row>
    <row r="134" spans="1:8" x14ac:dyDescent="0.3">
      <c r="A134" s="25" t="s">
        <v>90</v>
      </c>
      <c r="B134" s="161" t="s">
        <v>76</v>
      </c>
      <c r="C134" s="15">
        <v>130</v>
      </c>
      <c r="D134" s="162">
        <f t="shared" si="6"/>
        <v>8.2487309644670048E-2</v>
      </c>
      <c r="G134" s="13"/>
      <c r="H134" s="17"/>
    </row>
    <row r="135" spans="1:8" x14ac:dyDescent="0.3">
      <c r="A135" s="25" t="s">
        <v>91</v>
      </c>
      <c r="B135" s="161" t="s">
        <v>76</v>
      </c>
      <c r="C135" s="15">
        <v>8</v>
      </c>
      <c r="D135" s="162">
        <f t="shared" si="6"/>
        <v>5.076142131979695E-3</v>
      </c>
      <c r="G135" s="13"/>
      <c r="H135" s="17"/>
    </row>
    <row r="136" spans="1:8" x14ac:dyDescent="0.3">
      <c r="A136" s="25" t="s">
        <v>92</v>
      </c>
      <c r="B136" s="15" t="s">
        <v>76</v>
      </c>
      <c r="C136" s="15">
        <v>60</v>
      </c>
      <c r="D136" s="162">
        <f t="shared" si="6"/>
        <v>3.8071065989847719E-2</v>
      </c>
    </row>
    <row r="137" spans="1:8" x14ac:dyDescent="0.3">
      <c r="A137" s="25" t="s">
        <v>93</v>
      </c>
      <c r="B137" s="15" t="s">
        <v>76</v>
      </c>
      <c r="C137" s="48">
        <v>14</v>
      </c>
      <c r="D137" s="162">
        <f t="shared" si="6"/>
        <v>8.8832487309644676E-3</v>
      </c>
    </row>
    <row r="138" spans="1:8" x14ac:dyDescent="0.3">
      <c r="A138" s="25" t="s">
        <v>94</v>
      </c>
      <c r="B138" s="15" t="s">
        <v>78</v>
      </c>
      <c r="C138" s="15">
        <v>6</v>
      </c>
      <c r="D138" s="162">
        <f t="shared" si="6"/>
        <v>3.8071065989847717E-3</v>
      </c>
    </row>
    <row r="139" spans="1:8" x14ac:dyDescent="0.3">
      <c r="A139" s="25" t="s">
        <v>95</v>
      </c>
      <c r="B139" s="15" t="s">
        <v>78</v>
      </c>
      <c r="C139" s="15">
        <v>58</v>
      </c>
      <c r="D139" s="162">
        <f t="shared" si="6"/>
        <v>3.6802030456852791E-2</v>
      </c>
    </row>
    <row r="140" spans="1:8" x14ac:dyDescent="0.3">
      <c r="A140" s="25" t="s">
        <v>96</v>
      </c>
      <c r="B140" s="15" t="s">
        <v>78</v>
      </c>
      <c r="C140" s="15">
        <v>79</v>
      </c>
      <c r="D140" s="162">
        <f t="shared" si="6"/>
        <v>5.012690355329949E-2</v>
      </c>
    </row>
    <row r="141" spans="1:8" x14ac:dyDescent="0.3">
      <c r="A141" s="25" t="s">
        <v>97</v>
      </c>
      <c r="B141" s="15" t="s">
        <v>79</v>
      </c>
      <c r="C141" s="15">
        <v>40</v>
      </c>
      <c r="D141" s="162">
        <f t="shared" si="6"/>
        <v>2.5380710659898477E-2</v>
      </c>
    </row>
    <row r="142" spans="1:8" x14ac:dyDescent="0.3">
      <c r="A142" s="25" t="s">
        <v>98</v>
      </c>
      <c r="B142" s="15" t="s">
        <v>79</v>
      </c>
      <c r="C142" s="15">
        <v>3</v>
      </c>
      <c r="D142" s="162">
        <f t="shared" si="6"/>
        <v>1.9035532994923859E-3</v>
      </c>
    </row>
    <row r="143" spans="1:8" x14ac:dyDescent="0.3">
      <c r="A143" s="25" t="s">
        <v>99</v>
      </c>
      <c r="B143" s="15" t="s">
        <v>79</v>
      </c>
      <c r="C143" s="15">
        <v>13</v>
      </c>
      <c r="D143" s="162">
        <f t="shared" si="6"/>
        <v>8.2487309644670055E-3</v>
      </c>
    </row>
    <row r="144" spans="1:8" x14ac:dyDescent="0.3">
      <c r="A144" s="25" t="s">
        <v>100</v>
      </c>
      <c r="B144" s="15" t="s">
        <v>79</v>
      </c>
      <c r="C144" s="15">
        <v>113</v>
      </c>
      <c r="D144" s="162">
        <f t="shared" si="6"/>
        <v>7.1700507614213205E-2</v>
      </c>
    </row>
    <row r="145" spans="1:8" x14ac:dyDescent="0.3">
      <c r="A145" s="25" t="s">
        <v>101</v>
      </c>
      <c r="B145" s="15" t="s">
        <v>79</v>
      </c>
      <c r="C145" s="15">
        <v>27</v>
      </c>
      <c r="D145" s="162">
        <f t="shared" si="6"/>
        <v>1.7131979695431471E-2</v>
      </c>
    </row>
    <row r="146" spans="1:8" x14ac:dyDescent="0.3">
      <c r="A146" s="25" t="s">
        <v>102</v>
      </c>
      <c r="B146" s="15" t="s">
        <v>79</v>
      </c>
      <c r="C146" s="15">
        <v>28</v>
      </c>
      <c r="D146" s="162">
        <f t="shared" si="6"/>
        <v>1.7766497461928935E-2</v>
      </c>
    </row>
    <row r="147" spans="1:8" x14ac:dyDescent="0.3">
      <c r="A147" s="25" t="s">
        <v>103</v>
      </c>
      <c r="B147" s="15" t="s">
        <v>79</v>
      </c>
      <c r="C147" s="15">
        <v>15</v>
      </c>
      <c r="D147" s="162">
        <f t="shared" si="6"/>
        <v>9.5177664974619297E-3</v>
      </c>
    </row>
    <row r="148" spans="1:8" x14ac:dyDescent="0.3">
      <c r="A148" s="25" t="s">
        <v>104</v>
      </c>
      <c r="B148" s="15" t="s">
        <v>79</v>
      </c>
      <c r="C148" s="15">
        <v>1</v>
      </c>
      <c r="D148" s="162">
        <f t="shared" si="6"/>
        <v>6.3451776649746188E-4</v>
      </c>
    </row>
    <row r="149" spans="1:8" x14ac:dyDescent="0.3">
      <c r="A149" s="25" t="s">
        <v>105</v>
      </c>
      <c r="B149" s="15" t="s">
        <v>81</v>
      </c>
      <c r="C149" s="15">
        <v>44</v>
      </c>
      <c r="D149" s="162">
        <f t="shared" si="6"/>
        <v>2.7918781725888325E-2</v>
      </c>
    </row>
    <row r="150" spans="1:8" x14ac:dyDescent="0.3">
      <c r="A150" s="25" t="s">
        <v>106</v>
      </c>
      <c r="B150" s="15" t="s">
        <v>81</v>
      </c>
      <c r="C150" s="15">
        <v>18</v>
      </c>
      <c r="D150" s="162">
        <f t="shared" si="6"/>
        <v>1.1421319796954314E-2</v>
      </c>
    </row>
    <row r="151" spans="1:8" x14ac:dyDescent="0.3">
      <c r="A151" s="25" t="s">
        <v>107</v>
      </c>
      <c r="B151" s="15" t="s">
        <v>81</v>
      </c>
      <c r="C151" s="15">
        <v>563</v>
      </c>
      <c r="D151" s="162">
        <f t="shared" si="6"/>
        <v>0.35723350253807107</v>
      </c>
    </row>
    <row r="152" spans="1:8" x14ac:dyDescent="0.3">
      <c r="A152" s="25" t="s">
        <v>108</v>
      </c>
      <c r="B152" s="15" t="s">
        <v>81</v>
      </c>
      <c r="C152" s="15">
        <v>23</v>
      </c>
      <c r="D152" s="162">
        <f t="shared" si="6"/>
        <v>1.4593908629441625E-2</v>
      </c>
    </row>
    <row r="153" spans="1:8" ht="14.5" thickBot="1" x14ac:dyDescent="0.35">
      <c r="A153" s="34" t="s">
        <v>109</v>
      </c>
      <c r="B153" s="24" t="s">
        <v>110</v>
      </c>
      <c r="C153" s="24">
        <v>74</v>
      </c>
      <c r="D153" s="169" t="s">
        <v>111</v>
      </c>
    </row>
    <row r="156" spans="1:8" ht="14.5" thickBot="1" x14ac:dyDescent="0.35"/>
    <row r="157" spans="1:8" x14ac:dyDescent="0.3">
      <c r="A157" s="8" t="s">
        <v>112</v>
      </c>
      <c r="B157" s="73" t="s">
        <v>68</v>
      </c>
      <c r="C157" s="9" t="s">
        <v>49</v>
      </c>
      <c r="D157" s="58" t="s">
        <v>50</v>
      </c>
      <c r="E157" s="88"/>
      <c r="F157" s="163" t="s">
        <v>113</v>
      </c>
      <c r="G157" s="9" t="s">
        <v>114</v>
      </c>
      <c r="H157" s="58" t="s">
        <v>50</v>
      </c>
    </row>
    <row r="158" spans="1:8" x14ac:dyDescent="0.3">
      <c r="A158" s="25" t="s">
        <v>71</v>
      </c>
      <c r="B158" s="15" t="s">
        <v>72</v>
      </c>
      <c r="C158" s="15">
        <v>92</v>
      </c>
      <c r="D158" s="162">
        <f>C158/782</f>
        <v>0.11764705882352941</v>
      </c>
      <c r="E158" s="13"/>
      <c r="F158" s="25" t="s">
        <v>72</v>
      </c>
      <c r="G158" s="15">
        <v>205</v>
      </c>
      <c r="H158" s="162">
        <f>G158/782</f>
        <v>0.26214833759590794</v>
      </c>
    </row>
    <row r="159" spans="1:8" x14ac:dyDescent="0.3">
      <c r="A159" s="25" t="s">
        <v>73</v>
      </c>
      <c r="B159" s="15" t="s">
        <v>72</v>
      </c>
      <c r="C159" s="15">
        <v>2</v>
      </c>
      <c r="D159" s="162">
        <f t="shared" ref="D159:D187" si="8">C159/782</f>
        <v>2.5575447570332483E-3</v>
      </c>
      <c r="E159" s="13"/>
      <c r="F159" s="25" t="s">
        <v>74</v>
      </c>
      <c r="G159" s="15">
        <v>2</v>
      </c>
      <c r="H159" s="162">
        <f t="shared" ref="H159:H163" si="9">G159/782</f>
        <v>2.5575447570332483E-3</v>
      </c>
    </row>
    <row r="160" spans="1:8" x14ac:dyDescent="0.3">
      <c r="A160" s="25" t="s">
        <v>75</v>
      </c>
      <c r="B160" s="15" t="s">
        <v>72</v>
      </c>
      <c r="C160" s="15">
        <v>98</v>
      </c>
      <c r="D160" s="162">
        <f t="shared" si="8"/>
        <v>0.12531969309462915</v>
      </c>
      <c r="E160" s="13"/>
      <c r="F160" s="99" t="s">
        <v>76</v>
      </c>
      <c r="G160" s="48">
        <v>176</v>
      </c>
      <c r="H160" s="162">
        <f t="shared" si="9"/>
        <v>0.22506393861892582</v>
      </c>
    </row>
    <row r="161" spans="1:8" x14ac:dyDescent="0.3">
      <c r="A161" s="25" t="s">
        <v>77</v>
      </c>
      <c r="B161" s="15" t="s">
        <v>72</v>
      </c>
      <c r="C161" s="15">
        <v>13</v>
      </c>
      <c r="D161" s="162">
        <f t="shared" si="8"/>
        <v>1.6624040920716114E-2</v>
      </c>
      <c r="E161" s="13"/>
      <c r="F161" s="25" t="s">
        <v>78</v>
      </c>
      <c r="G161" s="15">
        <v>37</v>
      </c>
      <c r="H161" s="162">
        <f t="shared" si="9"/>
        <v>4.7314578005115092E-2</v>
      </c>
    </row>
    <row r="162" spans="1:8" x14ac:dyDescent="0.3">
      <c r="A162" s="25" t="s">
        <v>74</v>
      </c>
      <c r="B162" s="15" t="s">
        <v>74</v>
      </c>
      <c r="C162" s="15">
        <v>2</v>
      </c>
      <c r="D162" s="162">
        <f t="shared" si="8"/>
        <v>2.5575447570332483E-3</v>
      </c>
      <c r="E162" s="13"/>
      <c r="F162" s="25" t="s">
        <v>79</v>
      </c>
      <c r="G162" s="15">
        <v>63</v>
      </c>
      <c r="H162" s="162">
        <f t="shared" si="9"/>
        <v>8.0562659846547313E-2</v>
      </c>
    </row>
    <row r="163" spans="1:8" ht="14.5" thickBot="1" x14ac:dyDescent="0.35">
      <c r="A163" s="25" t="s">
        <v>115</v>
      </c>
      <c r="B163" s="15" t="s">
        <v>76</v>
      </c>
      <c r="C163" s="15">
        <v>19</v>
      </c>
      <c r="D163" s="162">
        <f t="shared" si="8"/>
        <v>2.4296675191815855E-2</v>
      </c>
      <c r="E163" s="13"/>
      <c r="F163" s="34" t="s">
        <v>81</v>
      </c>
      <c r="G163" s="24">
        <v>299</v>
      </c>
      <c r="H163" s="184">
        <f t="shared" si="9"/>
        <v>0.38235294117647056</v>
      </c>
    </row>
    <row r="164" spans="1:8" x14ac:dyDescent="0.3">
      <c r="A164" s="25" t="s">
        <v>85</v>
      </c>
      <c r="B164" s="15" t="s">
        <v>76</v>
      </c>
      <c r="C164" s="15">
        <v>31</v>
      </c>
      <c r="D164" s="162">
        <f t="shared" si="8"/>
        <v>3.9641943734015347E-2</v>
      </c>
      <c r="F164" s="37"/>
      <c r="G164" s="13"/>
      <c r="H164" s="80"/>
    </row>
    <row r="165" spans="1:8" x14ac:dyDescent="0.3">
      <c r="A165" s="25" t="s">
        <v>86</v>
      </c>
      <c r="B165" s="15" t="s">
        <v>76</v>
      </c>
      <c r="C165" s="15">
        <v>22</v>
      </c>
      <c r="D165" s="162">
        <f t="shared" si="8"/>
        <v>2.8132992327365727E-2</v>
      </c>
      <c r="F165" s="37"/>
      <c r="G165" s="13"/>
      <c r="H165" s="80"/>
    </row>
    <row r="166" spans="1:8" x14ac:dyDescent="0.3">
      <c r="A166" s="25" t="s">
        <v>116</v>
      </c>
      <c r="B166" s="15" t="s">
        <v>76</v>
      </c>
      <c r="C166" s="15">
        <v>2</v>
      </c>
      <c r="D166" s="162">
        <f t="shared" si="8"/>
        <v>2.5575447570332483E-3</v>
      </c>
      <c r="F166" s="94"/>
      <c r="G166" s="94"/>
      <c r="H166" s="17"/>
    </row>
    <row r="167" spans="1:8" x14ac:dyDescent="0.3">
      <c r="A167" s="25" t="s">
        <v>87</v>
      </c>
      <c r="B167" s="15" t="s">
        <v>76</v>
      </c>
      <c r="C167" s="15">
        <v>10</v>
      </c>
      <c r="D167" s="162">
        <f t="shared" si="8"/>
        <v>1.278772378516624E-2</v>
      </c>
    </row>
    <row r="168" spans="1:8" x14ac:dyDescent="0.3">
      <c r="A168" s="25" t="s">
        <v>88</v>
      </c>
      <c r="B168" s="15" t="s">
        <v>76</v>
      </c>
      <c r="C168" s="15">
        <v>1</v>
      </c>
      <c r="D168" s="162">
        <f t="shared" si="8"/>
        <v>1.2787723785166241E-3</v>
      </c>
    </row>
    <row r="169" spans="1:8" x14ac:dyDescent="0.3">
      <c r="A169" s="25" t="s">
        <v>117</v>
      </c>
      <c r="B169" s="15" t="s">
        <v>76</v>
      </c>
      <c r="C169" s="15">
        <v>1</v>
      </c>
      <c r="D169" s="162">
        <f t="shared" si="8"/>
        <v>1.2787723785166241E-3</v>
      </c>
    </row>
    <row r="170" spans="1:8" x14ac:dyDescent="0.3">
      <c r="A170" s="25" t="s">
        <v>90</v>
      </c>
      <c r="B170" s="15" t="s">
        <v>76</v>
      </c>
      <c r="C170" s="15">
        <v>45</v>
      </c>
      <c r="D170" s="162">
        <f t="shared" si="8"/>
        <v>5.754475703324808E-2</v>
      </c>
    </row>
    <row r="171" spans="1:8" x14ac:dyDescent="0.3">
      <c r="A171" s="25" t="s">
        <v>91</v>
      </c>
      <c r="B171" s="15" t="s">
        <v>76</v>
      </c>
      <c r="C171" s="15">
        <v>6</v>
      </c>
      <c r="D171" s="162">
        <f t="shared" si="8"/>
        <v>7.6726342710997444E-3</v>
      </c>
    </row>
    <row r="172" spans="1:8" x14ac:dyDescent="0.3">
      <c r="A172" s="25" t="s">
        <v>92</v>
      </c>
      <c r="B172" s="15" t="s">
        <v>76</v>
      </c>
      <c r="C172" s="15">
        <v>14</v>
      </c>
      <c r="D172" s="162">
        <f t="shared" si="8"/>
        <v>1.7902813299232736E-2</v>
      </c>
    </row>
    <row r="173" spans="1:8" x14ac:dyDescent="0.3">
      <c r="A173" s="25" t="s">
        <v>93</v>
      </c>
      <c r="B173" s="15" t="s">
        <v>76</v>
      </c>
      <c r="C173" s="15">
        <v>25</v>
      </c>
      <c r="D173" s="162">
        <f t="shared" si="8"/>
        <v>3.1969309462915603E-2</v>
      </c>
    </row>
    <row r="174" spans="1:8" x14ac:dyDescent="0.3">
      <c r="A174" s="25" t="s">
        <v>95</v>
      </c>
      <c r="B174" s="15" t="s">
        <v>78</v>
      </c>
      <c r="C174" s="15">
        <v>9</v>
      </c>
      <c r="D174" s="162">
        <f t="shared" si="8"/>
        <v>1.1508951406649617E-2</v>
      </c>
    </row>
    <row r="175" spans="1:8" x14ac:dyDescent="0.3">
      <c r="A175" s="25" t="s">
        <v>96</v>
      </c>
      <c r="B175" s="15" t="s">
        <v>78</v>
      </c>
      <c r="C175" s="15">
        <v>28</v>
      </c>
      <c r="D175" s="162">
        <f t="shared" si="8"/>
        <v>3.5805626598465472E-2</v>
      </c>
    </row>
    <row r="176" spans="1:8" x14ac:dyDescent="0.3">
      <c r="A176" s="25" t="s">
        <v>97</v>
      </c>
      <c r="B176" s="15" t="s">
        <v>79</v>
      </c>
      <c r="C176" s="15">
        <v>3</v>
      </c>
      <c r="D176" s="162">
        <f t="shared" si="8"/>
        <v>3.8363171355498722E-3</v>
      </c>
    </row>
    <row r="177" spans="1:8" x14ac:dyDescent="0.3">
      <c r="A177" s="25" t="s">
        <v>118</v>
      </c>
      <c r="B177" s="15" t="s">
        <v>79</v>
      </c>
      <c r="C177" s="15">
        <v>2</v>
      </c>
      <c r="D177" s="162">
        <f t="shared" si="8"/>
        <v>2.5575447570332483E-3</v>
      </c>
    </row>
    <row r="178" spans="1:8" x14ac:dyDescent="0.3">
      <c r="A178" s="25" t="s">
        <v>98</v>
      </c>
      <c r="B178" s="15" t="s">
        <v>79</v>
      </c>
      <c r="C178" s="15">
        <v>3</v>
      </c>
      <c r="D178" s="162">
        <f t="shared" si="8"/>
        <v>3.8363171355498722E-3</v>
      </c>
    </row>
    <row r="179" spans="1:8" x14ac:dyDescent="0.3">
      <c r="A179" s="25" t="s">
        <v>99</v>
      </c>
      <c r="B179" s="15" t="s">
        <v>79</v>
      </c>
      <c r="C179" s="15">
        <v>7</v>
      </c>
      <c r="D179" s="162">
        <f t="shared" si="8"/>
        <v>8.9514066496163679E-3</v>
      </c>
    </row>
    <row r="180" spans="1:8" x14ac:dyDescent="0.3">
      <c r="A180" s="25" t="s">
        <v>100</v>
      </c>
      <c r="B180" s="15" t="s">
        <v>79</v>
      </c>
      <c r="C180" s="15">
        <v>21</v>
      </c>
      <c r="D180" s="162">
        <f t="shared" si="8"/>
        <v>2.6854219948849106E-2</v>
      </c>
    </row>
    <row r="181" spans="1:8" x14ac:dyDescent="0.3">
      <c r="A181" s="25" t="s">
        <v>101</v>
      </c>
      <c r="B181" s="15" t="s">
        <v>79</v>
      </c>
      <c r="C181" s="15">
        <v>7</v>
      </c>
      <c r="D181" s="162">
        <f t="shared" si="8"/>
        <v>8.9514066496163679E-3</v>
      </c>
    </row>
    <row r="182" spans="1:8" x14ac:dyDescent="0.3">
      <c r="A182" s="25" t="s">
        <v>102</v>
      </c>
      <c r="B182" s="15" t="s">
        <v>79</v>
      </c>
      <c r="C182" s="15">
        <v>15</v>
      </c>
      <c r="D182" s="162">
        <f t="shared" si="8"/>
        <v>1.9181585677749361E-2</v>
      </c>
    </row>
    <row r="183" spans="1:8" x14ac:dyDescent="0.3">
      <c r="A183" s="25" t="s">
        <v>103</v>
      </c>
      <c r="B183" s="15" t="s">
        <v>79</v>
      </c>
      <c r="C183" s="15">
        <v>5</v>
      </c>
      <c r="D183" s="162">
        <f t="shared" si="8"/>
        <v>6.3938618925831201E-3</v>
      </c>
    </row>
    <row r="184" spans="1:8" x14ac:dyDescent="0.3">
      <c r="A184" s="25" t="s">
        <v>105</v>
      </c>
      <c r="B184" s="15" t="s">
        <v>81</v>
      </c>
      <c r="C184" s="15">
        <v>30</v>
      </c>
      <c r="D184" s="162">
        <f t="shared" si="8"/>
        <v>3.8363171355498722E-2</v>
      </c>
    </row>
    <row r="185" spans="1:8" x14ac:dyDescent="0.3">
      <c r="A185" s="25" t="s">
        <v>106</v>
      </c>
      <c r="B185" s="15" t="s">
        <v>81</v>
      </c>
      <c r="C185" s="15">
        <v>30</v>
      </c>
      <c r="D185" s="162">
        <f t="shared" si="8"/>
        <v>3.8363171355498722E-2</v>
      </c>
    </row>
    <row r="186" spans="1:8" x14ac:dyDescent="0.3">
      <c r="A186" s="25" t="s">
        <v>107</v>
      </c>
      <c r="B186" s="15" t="s">
        <v>81</v>
      </c>
      <c r="C186" s="15">
        <v>213</v>
      </c>
      <c r="D186" s="162">
        <f t="shared" si="8"/>
        <v>0.27237851662404094</v>
      </c>
    </row>
    <row r="187" spans="1:8" x14ac:dyDescent="0.3">
      <c r="A187" s="25" t="s">
        <v>108</v>
      </c>
      <c r="B187" s="15" t="s">
        <v>81</v>
      </c>
      <c r="C187" s="15">
        <v>26</v>
      </c>
      <c r="D187" s="162">
        <f t="shared" si="8"/>
        <v>3.3248081841432228E-2</v>
      </c>
    </row>
    <row r="188" spans="1:8" ht="14.5" thickBot="1" x14ac:dyDescent="0.35">
      <c r="A188" s="34" t="s">
        <v>109</v>
      </c>
      <c r="B188" s="24" t="s">
        <v>110</v>
      </c>
      <c r="C188" s="24">
        <v>44</v>
      </c>
      <c r="D188" s="169" t="s">
        <v>111</v>
      </c>
    </row>
    <row r="191" spans="1:8" ht="14.5" thickBot="1" x14ac:dyDescent="0.35"/>
    <row r="192" spans="1:8" x14ac:dyDescent="0.3">
      <c r="A192" s="8" t="s">
        <v>119</v>
      </c>
      <c r="B192" s="73" t="s">
        <v>68</v>
      </c>
      <c r="C192" s="9" t="s">
        <v>49</v>
      </c>
      <c r="D192" s="57" t="s">
        <v>50</v>
      </c>
      <c r="F192" s="163" t="s">
        <v>120</v>
      </c>
      <c r="G192" s="9" t="s">
        <v>114</v>
      </c>
      <c r="H192" s="58" t="s">
        <v>50</v>
      </c>
    </row>
    <row r="193" spans="1:8" x14ac:dyDescent="0.3">
      <c r="A193" s="25" t="s">
        <v>71</v>
      </c>
      <c r="B193" s="25" t="s">
        <v>72</v>
      </c>
      <c r="C193" s="15">
        <v>1389</v>
      </c>
      <c r="D193" s="166">
        <f>C193/2885</f>
        <v>0.48145580589254766</v>
      </c>
      <c r="F193" s="25" t="s">
        <v>72</v>
      </c>
      <c r="G193" s="15">
        <v>1698</v>
      </c>
      <c r="H193" s="162">
        <f>G193/2885</f>
        <v>0.58856152512998272</v>
      </c>
    </row>
    <row r="194" spans="1:8" x14ac:dyDescent="0.3">
      <c r="A194" s="25" t="s">
        <v>73</v>
      </c>
      <c r="B194" s="15" t="s">
        <v>72</v>
      </c>
      <c r="C194" s="15">
        <v>97</v>
      </c>
      <c r="D194" s="166">
        <f t="shared" ref="D194:D227" si="10">C194/2885</f>
        <v>3.3622183708838821E-2</v>
      </c>
      <c r="F194" s="25" t="s">
        <v>74</v>
      </c>
      <c r="G194" s="15">
        <v>9</v>
      </c>
      <c r="H194" s="162">
        <f t="shared" ref="H194:H198" si="11">G194/2885</f>
        <v>3.1195840554592721E-3</v>
      </c>
    </row>
    <row r="195" spans="1:8" x14ac:dyDescent="0.3">
      <c r="A195" s="38" t="s">
        <v>75</v>
      </c>
      <c r="B195" s="15" t="s">
        <v>72</v>
      </c>
      <c r="C195" s="15">
        <v>156</v>
      </c>
      <c r="D195" s="166">
        <f t="shared" si="10"/>
        <v>5.4072790294627381E-2</v>
      </c>
      <c r="F195" s="99" t="s">
        <v>76</v>
      </c>
      <c r="G195" s="48">
        <v>86</v>
      </c>
      <c r="H195" s="162">
        <f t="shared" si="11"/>
        <v>2.9809358752166379E-2</v>
      </c>
    </row>
    <row r="196" spans="1:8" x14ac:dyDescent="0.3">
      <c r="A196" s="25" t="s">
        <v>77</v>
      </c>
      <c r="B196" s="15" t="s">
        <v>72</v>
      </c>
      <c r="C196" s="15">
        <v>56</v>
      </c>
      <c r="D196" s="166">
        <f t="shared" si="10"/>
        <v>1.9410745233968803E-2</v>
      </c>
      <c r="F196" s="25" t="s">
        <v>78</v>
      </c>
      <c r="G196" s="15">
        <v>24</v>
      </c>
      <c r="H196" s="162">
        <f t="shared" si="11"/>
        <v>8.3188908145580588E-3</v>
      </c>
    </row>
    <row r="197" spans="1:8" x14ac:dyDescent="0.3">
      <c r="A197" s="25" t="s">
        <v>74</v>
      </c>
      <c r="B197" s="15" t="s">
        <v>74</v>
      </c>
      <c r="C197" s="15">
        <v>9</v>
      </c>
      <c r="D197" s="166">
        <f t="shared" si="10"/>
        <v>3.1195840554592721E-3</v>
      </c>
      <c r="F197" s="25" t="s">
        <v>79</v>
      </c>
      <c r="G197" s="15">
        <v>779</v>
      </c>
      <c r="H197" s="162">
        <f t="shared" si="11"/>
        <v>0.27001733102253034</v>
      </c>
    </row>
    <row r="198" spans="1:8" ht="14.5" thickBot="1" x14ac:dyDescent="0.35">
      <c r="A198" s="25" t="s">
        <v>115</v>
      </c>
      <c r="B198" s="15" t="s">
        <v>76</v>
      </c>
      <c r="C198" s="15">
        <v>4</v>
      </c>
      <c r="D198" s="166">
        <f t="shared" si="10"/>
        <v>1.3864818024263432E-3</v>
      </c>
      <c r="F198" s="34" t="s">
        <v>81</v>
      </c>
      <c r="G198" s="24">
        <v>289</v>
      </c>
      <c r="H198" s="184">
        <f t="shared" si="11"/>
        <v>0.10017331022530329</v>
      </c>
    </row>
    <row r="199" spans="1:8" x14ac:dyDescent="0.3">
      <c r="A199" s="25" t="s">
        <v>82</v>
      </c>
      <c r="B199" s="15" t="s">
        <v>76</v>
      </c>
      <c r="C199" s="15">
        <v>1</v>
      </c>
      <c r="D199" s="166">
        <f t="shared" si="10"/>
        <v>3.466204506065858E-4</v>
      </c>
    </row>
    <row r="200" spans="1:8" x14ac:dyDescent="0.3">
      <c r="A200" s="25" t="s">
        <v>85</v>
      </c>
      <c r="B200" s="15" t="s">
        <v>76</v>
      </c>
      <c r="C200" s="15">
        <v>15</v>
      </c>
      <c r="D200" s="166">
        <f t="shared" si="10"/>
        <v>5.1993067590987872E-3</v>
      </c>
    </row>
    <row r="201" spans="1:8" x14ac:dyDescent="0.3">
      <c r="A201" s="25" t="s">
        <v>86</v>
      </c>
      <c r="B201" s="15" t="s">
        <v>76</v>
      </c>
      <c r="C201" s="15">
        <v>10</v>
      </c>
      <c r="D201" s="166">
        <f t="shared" si="10"/>
        <v>3.4662045060658577E-3</v>
      </c>
    </row>
    <row r="202" spans="1:8" x14ac:dyDescent="0.3">
      <c r="A202" s="25" t="s">
        <v>116</v>
      </c>
      <c r="B202" s="15" t="s">
        <v>76</v>
      </c>
      <c r="C202" s="15">
        <v>2</v>
      </c>
      <c r="D202" s="166">
        <f t="shared" si="10"/>
        <v>6.932409012131716E-4</v>
      </c>
    </row>
    <row r="203" spans="1:8" x14ac:dyDescent="0.3">
      <c r="A203" s="25" t="s">
        <v>93</v>
      </c>
      <c r="B203" s="15" t="s">
        <v>76</v>
      </c>
      <c r="C203" s="48">
        <v>9</v>
      </c>
      <c r="D203" s="166">
        <f t="shared" si="10"/>
        <v>3.1195840554592721E-3</v>
      </c>
    </row>
    <row r="204" spans="1:8" x14ac:dyDescent="0.3">
      <c r="A204" s="25" t="s">
        <v>121</v>
      </c>
      <c r="B204" s="15" t="s">
        <v>76</v>
      </c>
      <c r="C204" s="15">
        <v>1</v>
      </c>
      <c r="D204" s="166">
        <f t="shared" si="10"/>
        <v>3.466204506065858E-4</v>
      </c>
    </row>
    <row r="205" spans="1:8" x14ac:dyDescent="0.3">
      <c r="A205" s="25" t="s">
        <v>87</v>
      </c>
      <c r="B205" s="46" t="s">
        <v>76</v>
      </c>
      <c r="C205" s="15">
        <v>9</v>
      </c>
      <c r="D205" s="166">
        <f t="shared" si="10"/>
        <v>3.1195840554592721E-3</v>
      </c>
    </row>
    <row r="206" spans="1:8" x14ac:dyDescent="0.3">
      <c r="A206" s="25" t="s">
        <v>89</v>
      </c>
      <c r="B206" s="15" t="s">
        <v>76</v>
      </c>
      <c r="C206" s="15">
        <v>7</v>
      </c>
      <c r="D206" s="166">
        <f t="shared" si="10"/>
        <v>2.4263431542461003E-3</v>
      </c>
    </row>
    <row r="207" spans="1:8" x14ac:dyDescent="0.3">
      <c r="A207" s="25" t="s">
        <v>117</v>
      </c>
      <c r="B207" s="15" t="s">
        <v>76</v>
      </c>
      <c r="C207" s="15">
        <v>1</v>
      </c>
      <c r="D207" s="166">
        <f t="shared" si="10"/>
        <v>3.466204506065858E-4</v>
      </c>
    </row>
    <row r="208" spans="1:8" x14ac:dyDescent="0.3">
      <c r="A208" s="25" t="s">
        <v>92</v>
      </c>
      <c r="B208" s="15" t="s">
        <v>76</v>
      </c>
      <c r="C208" s="48">
        <v>12</v>
      </c>
      <c r="D208" s="166">
        <f t="shared" si="10"/>
        <v>4.1594454072790294E-3</v>
      </c>
    </row>
    <row r="209" spans="1:4" x14ac:dyDescent="0.3">
      <c r="A209" s="25" t="s">
        <v>90</v>
      </c>
      <c r="B209" s="15" t="s">
        <v>76</v>
      </c>
      <c r="C209" s="15">
        <v>12</v>
      </c>
      <c r="D209" s="166">
        <f t="shared" si="10"/>
        <v>4.1594454072790294E-3</v>
      </c>
    </row>
    <row r="210" spans="1:4" x14ac:dyDescent="0.3">
      <c r="A210" s="15" t="s">
        <v>91</v>
      </c>
      <c r="B210" s="15" t="s">
        <v>76</v>
      </c>
      <c r="C210" s="15">
        <v>3</v>
      </c>
      <c r="D210" s="166">
        <f t="shared" si="10"/>
        <v>1.0398613518197574E-3</v>
      </c>
    </row>
    <row r="211" spans="1:4" x14ac:dyDescent="0.3">
      <c r="A211" s="25" t="s">
        <v>94</v>
      </c>
      <c r="B211" s="15" t="s">
        <v>78</v>
      </c>
      <c r="C211" s="15">
        <v>1</v>
      </c>
      <c r="D211" s="166">
        <f t="shared" si="10"/>
        <v>3.466204506065858E-4</v>
      </c>
    </row>
    <row r="212" spans="1:4" x14ac:dyDescent="0.3">
      <c r="A212" s="25" t="s">
        <v>122</v>
      </c>
      <c r="B212" s="15" t="s">
        <v>78</v>
      </c>
      <c r="C212" s="15">
        <v>4</v>
      </c>
      <c r="D212" s="166">
        <f t="shared" si="10"/>
        <v>1.3864818024263432E-3</v>
      </c>
    </row>
    <row r="213" spans="1:4" x14ac:dyDescent="0.3">
      <c r="A213" s="25" t="s">
        <v>95</v>
      </c>
      <c r="B213" s="15" t="s">
        <v>78</v>
      </c>
      <c r="C213" s="15">
        <v>5</v>
      </c>
      <c r="D213" s="166">
        <f t="shared" si="10"/>
        <v>1.7331022530329288E-3</v>
      </c>
    </row>
    <row r="214" spans="1:4" x14ac:dyDescent="0.3">
      <c r="A214" s="25" t="s">
        <v>96</v>
      </c>
      <c r="B214" s="15" t="s">
        <v>78</v>
      </c>
      <c r="C214" s="15">
        <v>14</v>
      </c>
      <c r="D214" s="166">
        <f t="shared" si="10"/>
        <v>4.8526863084922007E-3</v>
      </c>
    </row>
    <row r="215" spans="1:4" x14ac:dyDescent="0.3">
      <c r="A215" s="25" t="s">
        <v>123</v>
      </c>
      <c r="B215" s="15" t="s">
        <v>79</v>
      </c>
      <c r="C215" s="15">
        <v>2</v>
      </c>
      <c r="D215" s="166">
        <f t="shared" si="10"/>
        <v>6.932409012131716E-4</v>
      </c>
    </row>
    <row r="216" spans="1:4" x14ac:dyDescent="0.3">
      <c r="A216" s="25" t="s">
        <v>118</v>
      </c>
      <c r="B216" s="15" t="s">
        <v>79</v>
      </c>
      <c r="C216" s="15">
        <v>3</v>
      </c>
      <c r="D216" s="166">
        <f t="shared" si="10"/>
        <v>1.0398613518197574E-3</v>
      </c>
    </row>
    <row r="217" spans="1:4" x14ac:dyDescent="0.3">
      <c r="A217" s="25" t="s">
        <v>98</v>
      </c>
      <c r="B217" s="15" t="s">
        <v>79</v>
      </c>
      <c r="C217" s="15">
        <v>45</v>
      </c>
      <c r="D217" s="166">
        <f t="shared" si="10"/>
        <v>1.5597920277296361E-2</v>
      </c>
    </row>
    <row r="218" spans="1:4" x14ac:dyDescent="0.3">
      <c r="A218" s="25" t="s">
        <v>99</v>
      </c>
      <c r="B218" s="15" t="s">
        <v>79</v>
      </c>
      <c r="C218" s="15">
        <v>33</v>
      </c>
      <c r="D218" s="166">
        <f t="shared" si="10"/>
        <v>1.1438474870017331E-2</v>
      </c>
    </row>
    <row r="219" spans="1:4" x14ac:dyDescent="0.3">
      <c r="A219" s="25" t="s">
        <v>100</v>
      </c>
      <c r="B219" s="35" t="s">
        <v>79</v>
      </c>
      <c r="C219" s="35">
        <v>15</v>
      </c>
      <c r="D219" s="166">
        <f t="shared" si="10"/>
        <v>5.1993067590987872E-3</v>
      </c>
    </row>
    <row r="220" spans="1:4" x14ac:dyDescent="0.3">
      <c r="A220" s="25" t="s">
        <v>101</v>
      </c>
      <c r="B220" s="15" t="s">
        <v>79</v>
      </c>
      <c r="C220" s="15">
        <v>3</v>
      </c>
      <c r="D220" s="166">
        <f t="shared" si="10"/>
        <v>1.0398613518197574E-3</v>
      </c>
    </row>
    <row r="221" spans="1:4" x14ac:dyDescent="0.3">
      <c r="A221" s="25" t="s">
        <v>102</v>
      </c>
      <c r="B221" s="15" t="s">
        <v>79</v>
      </c>
      <c r="C221" s="15">
        <v>93</v>
      </c>
      <c r="D221" s="166">
        <f t="shared" si="10"/>
        <v>3.2235701906412478E-2</v>
      </c>
    </row>
    <row r="222" spans="1:4" x14ac:dyDescent="0.3">
      <c r="A222" s="25" t="s">
        <v>103</v>
      </c>
      <c r="B222" s="15" t="s">
        <v>79</v>
      </c>
      <c r="C222" s="15">
        <v>532</v>
      </c>
      <c r="D222" s="166">
        <f t="shared" si="10"/>
        <v>0.18440207972270364</v>
      </c>
    </row>
    <row r="223" spans="1:4" x14ac:dyDescent="0.3">
      <c r="A223" s="25" t="s">
        <v>104</v>
      </c>
      <c r="B223" s="15" t="s">
        <v>79</v>
      </c>
      <c r="C223" s="15">
        <v>53</v>
      </c>
      <c r="D223" s="166">
        <f t="shared" si="10"/>
        <v>1.8370883882149046E-2</v>
      </c>
    </row>
    <row r="224" spans="1:4" x14ac:dyDescent="0.3">
      <c r="A224" s="25" t="s">
        <v>105</v>
      </c>
      <c r="B224" s="15" t="s">
        <v>81</v>
      </c>
      <c r="C224" s="15">
        <v>105</v>
      </c>
      <c r="D224" s="166">
        <f t="shared" si="10"/>
        <v>3.6395147313691506E-2</v>
      </c>
    </row>
    <row r="225" spans="1:8" x14ac:dyDescent="0.3">
      <c r="A225" s="78" t="s">
        <v>106</v>
      </c>
      <c r="B225" s="15" t="s">
        <v>81</v>
      </c>
      <c r="C225" s="15">
        <v>66</v>
      </c>
      <c r="D225" s="166">
        <f t="shared" si="10"/>
        <v>2.2876949740034663E-2</v>
      </c>
    </row>
    <row r="226" spans="1:8" x14ac:dyDescent="0.3">
      <c r="A226" s="15" t="s">
        <v>107</v>
      </c>
      <c r="B226" s="15" t="s">
        <v>81</v>
      </c>
      <c r="C226" s="15">
        <v>26</v>
      </c>
      <c r="D226" s="166">
        <f t="shared" si="10"/>
        <v>9.0121317157712301E-3</v>
      </c>
    </row>
    <row r="227" spans="1:8" x14ac:dyDescent="0.3">
      <c r="A227" s="15" t="s">
        <v>124</v>
      </c>
      <c r="B227" s="25" t="s">
        <v>81</v>
      </c>
      <c r="C227" s="15">
        <v>92</v>
      </c>
      <c r="D227" s="166">
        <f t="shared" si="10"/>
        <v>3.1889081455805893E-2</v>
      </c>
    </row>
    <row r="228" spans="1:8" ht="14.5" thickBot="1" x14ac:dyDescent="0.35">
      <c r="A228" s="15" t="s">
        <v>109</v>
      </c>
      <c r="B228" s="24" t="s">
        <v>125</v>
      </c>
      <c r="C228" s="100">
        <v>73</v>
      </c>
      <c r="D228" s="167" t="s">
        <v>111</v>
      </c>
    </row>
    <row r="231" spans="1:8" ht="14.5" thickBot="1" x14ac:dyDescent="0.35"/>
    <row r="232" spans="1:8" ht="11.65" customHeight="1" x14ac:dyDescent="0.3">
      <c r="A232" s="8" t="s">
        <v>126</v>
      </c>
      <c r="B232" s="73" t="s">
        <v>68</v>
      </c>
      <c r="C232" s="9" t="s">
        <v>49</v>
      </c>
      <c r="D232" s="58" t="s">
        <v>50</v>
      </c>
      <c r="F232" s="163" t="s">
        <v>127</v>
      </c>
      <c r="G232" s="9" t="s">
        <v>114</v>
      </c>
      <c r="H232" s="58" t="s">
        <v>50</v>
      </c>
    </row>
    <row r="233" spans="1:8" x14ac:dyDescent="0.3">
      <c r="A233" s="25" t="s">
        <v>71</v>
      </c>
      <c r="B233" s="15" t="s">
        <v>72</v>
      </c>
      <c r="C233" s="15">
        <v>165</v>
      </c>
      <c r="D233" s="162">
        <f t="shared" ref="D233:D265" si="12">C233/2872</f>
        <v>5.745125348189415E-2</v>
      </c>
      <c r="F233" s="25" t="s">
        <v>72</v>
      </c>
      <c r="G233" s="15">
        <v>325</v>
      </c>
      <c r="H233" s="162">
        <f>G233/2872</f>
        <v>0.11316155988857939</v>
      </c>
    </row>
    <row r="234" spans="1:8" x14ac:dyDescent="0.3">
      <c r="A234" s="25" t="s">
        <v>73</v>
      </c>
      <c r="B234" s="15" t="s">
        <v>72</v>
      </c>
      <c r="C234" s="15">
        <v>38</v>
      </c>
      <c r="D234" s="162">
        <f t="shared" si="12"/>
        <v>1.3231197771587743E-2</v>
      </c>
      <c r="F234" s="25" t="s">
        <v>74</v>
      </c>
      <c r="G234" s="15">
        <v>45</v>
      </c>
      <c r="H234" s="162">
        <f t="shared" ref="H234:H238" si="13">G234/2872</f>
        <v>1.5668523676880222E-2</v>
      </c>
    </row>
    <row r="235" spans="1:8" x14ac:dyDescent="0.3">
      <c r="A235" s="25" t="s">
        <v>75</v>
      </c>
      <c r="B235" s="15" t="s">
        <v>72</v>
      </c>
      <c r="C235" s="15">
        <v>95</v>
      </c>
      <c r="D235" s="162">
        <f t="shared" si="12"/>
        <v>3.3077994428969359E-2</v>
      </c>
      <c r="F235" s="99" t="s">
        <v>76</v>
      </c>
      <c r="G235" s="48">
        <v>706</v>
      </c>
      <c r="H235" s="162">
        <f t="shared" si="13"/>
        <v>0.24582172701949861</v>
      </c>
    </row>
    <row r="236" spans="1:8" x14ac:dyDescent="0.3">
      <c r="A236" s="25" t="s">
        <v>77</v>
      </c>
      <c r="B236" s="15" t="s">
        <v>72</v>
      </c>
      <c r="C236" s="15">
        <v>27</v>
      </c>
      <c r="D236" s="162">
        <f t="shared" si="12"/>
        <v>9.401114206128134E-3</v>
      </c>
      <c r="F236" s="25" t="s">
        <v>78</v>
      </c>
      <c r="G236" s="15">
        <v>517</v>
      </c>
      <c r="H236" s="162">
        <f t="shared" si="13"/>
        <v>0.18001392757660167</v>
      </c>
    </row>
    <row r="237" spans="1:8" x14ac:dyDescent="0.3">
      <c r="A237" s="25" t="s">
        <v>74</v>
      </c>
      <c r="B237" s="15" t="s">
        <v>74</v>
      </c>
      <c r="C237" s="15">
        <v>45</v>
      </c>
      <c r="D237" s="162">
        <f t="shared" si="12"/>
        <v>1.5668523676880222E-2</v>
      </c>
      <c r="F237" s="25" t="s">
        <v>79</v>
      </c>
      <c r="G237" s="15">
        <v>621</v>
      </c>
      <c r="H237" s="162">
        <f t="shared" si="13"/>
        <v>0.21622562674094709</v>
      </c>
    </row>
    <row r="238" spans="1:8" ht="14.5" thickBot="1" x14ac:dyDescent="0.35">
      <c r="A238" s="25" t="s">
        <v>115</v>
      </c>
      <c r="B238" s="15" t="s">
        <v>76</v>
      </c>
      <c r="C238" s="15">
        <v>81</v>
      </c>
      <c r="D238" s="162">
        <f t="shared" si="12"/>
        <v>2.8203342618384402E-2</v>
      </c>
      <c r="F238" s="34" t="s">
        <v>81</v>
      </c>
      <c r="G238" s="24">
        <v>658</v>
      </c>
      <c r="H238" s="184">
        <f t="shared" si="13"/>
        <v>0.22910863509749305</v>
      </c>
    </row>
    <row r="239" spans="1:8" x14ac:dyDescent="0.3">
      <c r="A239" s="25" t="s">
        <v>82</v>
      </c>
      <c r="B239" s="15" t="s">
        <v>76</v>
      </c>
      <c r="C239" s="15">
        <v>1</v>
      </c>
      <c r="D239" s="162">
        <f t="shared" si="12"/>
        <v>3.4818941504178273E-4</v>
      </c>
    </row>
    <row r="240" spans="1:8" x14ac:dyDescent="0.3">
      <c r="A240" s="25" t="s">
        <v>128</v>
      </c>
      <c r="B240" s="15" t="s">
        <v>76</v>
      </c>
      <c r="C240" s="15">
        <v>1</v>
      </c>
      <c r="D240" s="162">
        <f t="shared" si="12"/>
        <v>3.4818941504178273E-4</v>
      </c>
    </row>
    <row r="241" spans="1:4" x14ac:dyDescent="0.3">
      <c r="A241" s="25" t="s">
        <v>84</v>
      </c>
      <c r="B241" s="15" t="s">
        <v>76</v>
      </c>
      <c r="C241" s="15">
        <v>5</v>
      </c>
      <c r="D241" s="162">
        <f t="shared" si="12"/>
        <v>1.7409470752089136E-3</v>
      </c>
    </row>
    <row r="242" spans="1:4" x14ac:dyDescent="0.3">
      <c r="A242" s="25" t="s">
        <v>85</v>
      </c>
      <c r="B242" s="15" t="s">
        <v>76</v>
      </c>
      <c r="C242" s="15">
        <v>24</v>
      </c>
      <c r="D242" s="162">
        <f t="shared" si="12"/>
        <v>8.356545961002786E-3</v>
      </c>
    </row>
    <row r="243" spans="1:4" x14ac:dyDescent="0.3">
      <c r="A243" s="25" t="s">
        <v>86</v>
      </c>
      <c r="B243" s="15" t="s">
        <v>76</v>
      </c>
      <c r="C243" s="15">
        <v>4</v>
      </c>
      <c r="D243" s="162">
        <f t="shared" si="12"/>
        <v>1.3927576601671309E-3</v>
      </c>
    </row>
    <row r="244" spans="1:4" ht="14.5" x14ac:dyDescent="0.35">
      <c r="A244" s="25" t="s">
        <v>93</v>
      </c>
      <c r="B244" s="15" t="s">
        <v>76</v>
      </c>
      <c r="C244" s="168">
        <v>73</v>
      </c>
      <c r="D244" s="162">
        <f t="shared" si="12"/>
        <v>2.5417827298050141E-2</v>
      </c>
    </row>
    <row r="245" spans="1:4" x14ac:dyDescent="0.3">
      <c r="A245" s="25" t="s">
        <v>87</v>
      </c>
      <c r="B245" s="15" t="s">
        <v>76</v>
      </c>
      <c r="C245" s="15">
        <v>73</v>
      </c>
      <c r="D245" s="162">
        <f t="shared" si="12"/>
        <v>2.5417827298050141E-2</v>
      </c>
    </row>
    <row r="246" spans="1:4" x14ac:dyDescent="0.3">
      <c r="A246" s="25" t="s">
        <v>88</v>
      </c>
      <c r="B246" s="15" t="s">
        <v>76</v>
      </c>
      <c r="C246" s="15">
        <v>9</v>
      </c>
      <c r="D246" s="162">
        <f t="shared" si="12"/>
        <v>3.1337047353760445E-3</v>
      </c>
    </row>
    <row r="247" spans="1:4" x14ac:dyDescent="0.3">
      <c r="A247" s="25" t="s">
        <v>89</v>
      </c>
      <c r="B247" s="15" t="s">
        <v>76</v>
      </c>
      <c r="C247" s="15">
        <v>2</v>
      </c>
      <c r="D247" s="162">
        <f t="shared" si="12"/>
        <v>6.9637883008356546E-4</v>
      </c>
    </row>
    <row r="248" spans="1:4" x14ac:dyDescent="0.3">
      <c r="A248" s="25" t="s">
        <v>92</v>
      </c>
      <c r="B248" s="15" t="s">
        <v>76</v>
      </c>
      <c r="C248" s="15">
        <v>49</v>
      </c>
      <c r="D248" s="162">
        <f t="shared" si="12"/>
        <v>1.7061281337047353E-2</v>
      </c>
    </row>
    <row r="249" spans="1:4" x14ac:dyDescent="0.3">
      <c r="A249" s="25" t="s">
        <v>90</v>
      </c>
      <c r="B249" s="15" t="s">
        <v>76</v>
      </c>
      <c r="C249" s="15">
        <v>303</v>
      </c>
      <c r="D249" s="162">
        <f t="shared" si="12"/>
        <v>0.10550139275766017</v>
      </c>
    </row>
    <row r="250" spans="1:4" x14ac:dyDescent="0.3">
      <c r="A250" s="25" t="s">
        <v>91</v>
      </c>
      <c r="B250" s="15" t="s">
        <v>76</v>
      </c>
      <c r="C250" s="15">
        <v>81</v>
      </c>
      <c r="D250" s="162">
        <f t="shared" si="12"/>
        <v>2.8203342618384402E-2</v>
      </c>
    </row>
    <row r="251" spans="1:4" x14ac:dyDescent="0.3">
      <c r="A251" s="25" t="s">
        <v>129</v>
      </c>
      <c r="B251" s="15" t="s">
        <v>78</v>
      </c>
      <c r="C251" s="15">
        <v>1</v>
      </c>
      <c r="D251" s="162">
        <f t="shared" si="12"/>
        <v>3.4818941504178273E-4</v>
      </c>
    </row>
    <row r="252" spans="1:4" x14ac:dyDescent="0.3">
      <c r="A252" s="25" t="s">
        <v>94</v>
      </c>
      <c r="B252" s="15" t="s">
        <v>78</v>
      </c>
      <c r="C252" s="15">
        <v>21</v>
      </c>
      <c r="D252" s="162">
        <f t="shared" si="12"/>
        <v>7.3119777158774371E-3</v>
      </c>
    </row>
    <row r="253" spans="1:4" x14ac:dyDescent="0.3">
      <c r="A253" s="25" t="s">
        <v>95</v>
      </c>
      <c r="B253" s="15" t="s">
        <v>78</v>
      </c>
      <c r="C253" s="15">
        <v>200</v>
      </c>
      <c r="D253" s="162">
        <f t="shared" si="12"/>
        <v>6.9637883008356549E-2</v>
      </c>
    </row>
    <row r="254" spans="1:4" x14ac:dyDescent="0.3">
      <c r="A254" s="25" t="s">
        <v>96</v>
      </c>
      <c r="B254" s="15" t="s">
        <v>78</v>
      </c>
      <c r="C254" s="15">
        <v>295</v>
      </c>
      <c r="D254" s="162">
        <f t="shared" si="12"/>
        <v>0.10271587743732591</v>
      </c>
    </row>
    <row r="255" spans="1:4" x14ac:dyDescent="0.3">
      <c r="A255" s="25" t="s">
        <v>97</v>
      </c>
      <c r="B255" s="15" t="s">
        <v>79</v>
      </c>
      <c r="C255" s="15">
        <v>183</v>
      </c>
      <c r="D255" s="162">
        <f t="shared" si="12"/>
        <v>6.3718662952646235E-2</v>
      </c>
    </row>
    <row r="256" spans="1:4" x14ac:dyDescent="0.3">
      <c r="A256" s="25" t="s">
        <v>98</v>
      </c>
      <c r="B256" s="15" t="s">
        <v>79</v>
      </c>
      <c r="C256" s="15">
        <v>4</v>
      </c>
      <c r="D256" s="162">
        <f t="shared" si="12"/>
        <v>1.3927576601671309E-3</v>
      </c>
    </row>
    <row r="257" spans="1:8" x14ac:dyDescent="0.3">
      <c r="A257" s="25" t="s">
        <v>99</v>
      </c>
      <c r="B257" s="15" t="s">
        <v>79</v>
      </c>
      <c r="C257" s="15">
        <v>79</v>
      </c>
      <c r="D257" s="162">
        <f t="shared" si="12"/>
        <v>2.7506963788300837E-2</v>
      </c>
    </row>
    <row r="258" spans="1:8" x14ac:dyDescent="0.3">
      <c r="A258" s="25" t="s">
        <v>100</v>
      </c>
      <c r="B258" s="15" t="s">
        <v>79</v>
      </c>
      <c r="C258" s="15">
        <v>126</v>
      </c>
      <c r="D258" s="162">
        <f t="shared" si="12"/>
        <v>4.3871866295264621E-2</v>
      </c>
    </row>
    <row r="259" spans="1:8" x14ac:dyDescent="0.3">
      <c r="A259" s="25" t="s">
        <v>101</v>
      </c>
      <c r="B259" s="15" t="s">
        <v>79</v>
      </c>
      <c r="C259" s="15">
        <v>121</v>
      </c>
      <c r="D259" s="162">
        <f t="shared" si="12"/>
        <v>4.2130919220055713E-2</v>
      </c>
    </row>
    <row r="260" spans="1:8" x14ac:dyDescent="0.3">
      <c r="A260" s="25" t="s">
        <v>102</v>
      </c>
      <c r="B260" s="15" t="s">
        <v>79</v>
      </c>
      <c r="C260" s="15">
        <v>63</v>
      </c>
      <c r="D260" s="162">
        <f t="shared" si="12"/>
        <v>2.193593314763231E-2</v>
      </c>
    </row>
    <row r="261" spans="1:8" x14ac:dyDescent="0.3">
      <c r="A261" s="25" t="s">
        <v>103</v>
      </c>
      <c r="B261" s="15" t="s">
        <v>79</v>
      </c>
      <c r="C261" s="15">
        <v>45</v>
      </c>
      <c r="D261" s="162">
        <f t="shared" si="12"/>
        <v>1.5668523676880222E-2</v>
      </c>
    </row>
    <row r="262" spans="1:8" x14ac:dyDescent="0.3">
      <c r="A262" s="25" t="s">
        <v>105</v>
      </c>
      <c r="B262" s="15" t="s">
        <v>81</v>
      </c>
      <c r="C262" s="15">
        <v>40</v>
      </c>
      <c r="D262" s="162">
        <f t="shared" si="12"/>
        <v>1.3927576601671309E-2</v>
      </c>
    </row>
    <row r="263" spans="1:8" x14ac:dyDescent="0.3">
      <c r="A263" s="25" t="s">
        <v>108</v>
      </c>
      <c r="B263" s="15" t="s">
        <v>81</v>
      </c>
      <c r="C263" s="15">
        <v>116</v>
      </c>
      <c r="D263" s="162">
        <f t="shared" si="12"/>
        <v>4.0389972144846797E-2</v>
      </c>
    </row>
    <row r="264" spans="1:8" x14ac:dyDescent="0.3">
      <c r="A264" s="25" t="s">
        <v>106</v>
      </c>
      <c r="B264" s="15" t="s">
        <v>81</v>
      </c>
      <c r="C264" s="15">
        <v>27</v>
      </c>
      <c r="D264" s="162">
        <f t="shared" si="12"/>
        <v>9.401114206128134E-3</v>
      </c>
    </row>
    <row r="265" spans="1:8" x14ac:dyDescent="0.3">
      <c r="A265" s="25" t="s">
        <v>107</v>
      </c>
      <c r="B265" s="15" t="s">
        <v>81</v>
      </c>
      <c r="C265" s="15">
        <v>475</v>
      </c>
      <c r="D265" s="162">
        <f t="shared" si="12"/>
        <v>0.1653899721448468</v>
      </c>
    </row>
    <row r="266" spans="1:8" ht="14.5" thickBot="1" x14ac:dyDescent="0.35">
      <c r="A266" s="34" t="s">
        <v>130</v>
      </c>
      <c r="B266" s="24" t="s">
        <v>125</v>
      </c>
      <c r="C266" s="24">
        <v>152</v>
      </c>
      <c r="D266" s="169" t="s">
        <v>111</v>
      </c>
    </row>
    <row r="269" spans="1:8" ht="14.5" thickBot="1" x14ac:dyDescent="0.35"/>
    <row r="270" spans="1:8" x14ac:dyDescent="0.3">
      <c r="A270" s="8" t="s">
        <v>131</v>
      </c>
      <c r="B270" s="73" t="s">
        <v>68</v>
      </c>
      <c r="C270" s="9" t="s">
        <v>49</v>
      </c>
      <c r="D270" s="89" t="s">
        <v>50</v>
      </c>
      <c r="F270" s="163" t="s">
        <v>132</v>
      </c>
      <c r="G270" s="9" t="s">
        <v>114</v>
      </c>
      <c r="H270" s="58" t="s">
        <v>50</v>
      </c>
    </row>
    <row r="271" spans="1:8" ht="14.5" thickBot="1" x14ac:dyDescent="0.35">
      <c r="A271" s="34" t="s">
        <v>71</v>
      </c>
      <c r="B271" s="15" t="s">
        <v>72</v>
      </c>
      <c r="C271" s="15">
        <v>138</v>
      </c>
      <c r="D271" s="162">
        <f>C271/1735</f>
        <v>7.953890489913544E-2</v>
      </c>
      <c r="F271" s="25" t="s">
        <v>72</v>
      </c>
      <c r="G271" s="15">
        <v>270</v>
      </c>
      <c r="H271" s="162">
        <f>G271/1735</f>
        <v>0.15561959654178675</v>
      </c>
    </row>
    <row r="272" spans="1:8" x14ac:dyDescent="0.3">
      <c r="A272" s="25" t="s">
        <v>73</v>
      </c>
      <c r="B272" s="15" t="s">
        <v>72</v>
      </c>
      <c r="C272" s="15">
        <v>10</v>
      </c>
      <c r="D272" s="162">
        <f t="shared" ref="D272:D305" si="14">C272/1735</f>
        <v>5.763688760806916E-3</v>
      </c>
      <c r="F272" s="25" t="s">
        <v>74</v>
      </c>
      <c r="G272" s="15">
        <v>33</v>
      </c>
      <c r="H272" s="162">
        <f t="shared" ref="H272:H276" si="15">G272/1735</f>
        <v>1.9020172910662825E-2</v>
      </c>
    </row>
    <row r="273" spans="1:8" x14ac:dyDescent="0.3">
      <c r="A273" s="25" t="s">
        <v>75</v>
      </c>
      <c r="B273" s="15" t="s">
        <v>72</v>
      </c>
      <c r="C273" s="15">
        <v>105</v>
      </c>
      <c r="D273" s="162">
        <f t="shared" si="14"/>
        <v>6.0518731988472622E-2</v>
      </c>
      <c r="F273" s="99" t="s">
        <v>76</v>
      </c>
      <c r="G273" s="48">
        <v>609</v>
      </c>
      <c r="H273" s="162">
        <f t="shared" si="15"/>
        <v>0.35100864553314121</v>
      </c>
    </row>
    <row r="274" spans="1:8" x14ac:dyDescent="0.3">
      <c r="A274" s="25" t="s">
        <v>77</v>
      </c>
      <c r="B274" s="15" t="s">
        <v>72</v>
      </c>
      <c r="C274" s="15">
        <v>17</v>
      </c>
      <c r="D274" s="162">
        <f t="shared" si="14"/>
        <v>9.7982708933717581E-3</v>
      </c>
      <c r="F274" s="25" t="s">
        <v>78</v>
      </c>
      <c r="G274" s="15">
        <v>159</v>
      </c>
      <c r="H274" s="162">
        <f t="shared" si="15"/>
        <v>9.1642651296829969E-2</v>
      </c>
    </row>
    <row r="275" spans="1:8" x14ac:dyDescent="0.3">
      <c r="A275" s="25" t="s">
        <v>74</v>
      </c>
      <c r="B275" s="15" t="s">
        <v>74</v>
      </c>
      <c r="C275" s="15">
        <v>33</v>
      </c>
      <c r="D275" s="162">
        <f t="shared" si="14"/>
        <v>1.9020172910662825E-2</v>
      </c>
      <c r="F275" s="25" t="s">
        <v>79</v>
      </c>
      <c r="G275" s="15">
        <v>230</v>
      </c>
      <c r="H275" s="162">
        <f t="shared" si="15"/>
        <v>0.13256484149855907</v>
      </c>
    </row>
    <row r="276" spans="1:8" ht="14.5" thickBot="1" x14ac:dyDescent="0.35">
      <c r="A276" s="25" t="s">
        <v>115</v>
      </c>
      <c r="B276" s="15" t="s">
        <v>76</v>
      </c>
      <c r="C276" s="15">
        <v>69</v>
      </c>
      <c r="D276" s="162">
        <f t="shared" si="14"/>
        <v>3.976945244956772E-2</v>
      </c>
      <c r="F276" s="34" t="s">
        <v>81</v>
      </c>
      <c r="G276" s="24">
        <v>434</v>
      </c>
      <c r="H276" s="184">
        <f t="shared" si="15"/>
        <v>0.25014409221902018</v>
      </c>
    </row>
    <row r="277" spans="1:8" x14ac:dyDescent="0.3">
      <c r="A277" s="25" t="s">
        <v>92</v>
      </c>
      <c r="B277" s="15" t="s">
        <v>76</v>
      </c>
      <c r="C277" s="15">
        <v>13</v>
      </c>
      <c r="D277" s="162">
        <f t="shared" si="14"/>
        <v>7.492795389048991E-3</v>
      </c>
    </row>
    <row r="278" spans="1:8" x14ac:dyDescent="0.3">
      <c r="A278" s="25" t="s">
        <v>84</v>
      </c>
      <c r="B278" s="15" t="s">
        <v>76</v>
      </c>
      <c r="C278" s="15">
        <v>7</v>
      </c>
      <c r="D278" s="162">
        <f t="shared" si="14"/>
        <v>4.0345821325648411E-3</v>
      </c>
    </row>
    <row r="279" spans="1:8" x14ac:dyDescent="0.3">
      <c r="A279" s="25" t="s">
        <v>85</v>
      </c>
      <c r="B279" s="15" t="s">
        <v>76</v>
      </c>
      <c r="C279" s="15">
        <v>40</v>
      </c>
      <c r="D279" s="162">
        <f t="shared" si="14"/>
        <v>2.3054755043227664E-2</v>
      </c>
    </row>
    <row r="280" spans="1:8" x14ac:dyDescent="0.3">
      <c r="A280" s="25" t="s">
        <v>86</v>
      </c>
      <c r="B280" s="15" t="s">
        <v>76</v>
      </c>
      <c r="C280" s="15">
        <v>11</v>
      </c>
      <c r="D280" s="162">
        <f t="shared" si="14"/>
        <v>6.3400576368876083E-3</v>
      </c>
    </row>
    <row r="281" spans="1:8" x14ac:dyDescent="0.3">
      <c r="A281" s="25" t="s">
        <v>116</v>
      </c>
      <c r="B281" s="15" t="s">
        <v>76</v>
      </c>
      <c r="C281" s="15">
        <v>1</v>
      </c>
      <c r="D281" s="162">
        <f t="shared" si="14"/>
        <v>5.7636887608069167E-4</v>
      </c>
    </row>
    <row r="282" spans="1:8" x14ac:dyDescent="0.3">
      <c r="A282" s="25" t="s">
        <v>93</v>
      </c>
      <c r="B282" s="15" t="s">
        <v>76</v>
      </c>
      <c r="C282" s="15">
        <v>84</v>
      </c>
      <c r="D282" s="162">
        <f t="shared" si="14"/>
        <v>4.8414985590778101E-2</v>
      </c>
    </row>
    <row r="283" spans="1:8" x14ac:dyDescent="0.3">
      <c r="A283" s="25" t="s">
        <v>121</v>
      </c>
      <c r="B283" s="15" t="s">
        <v>76</v>
      </c>
      <c r="C283" s="15">
        <v>2</v>
      </c>
      <c r="D283" s="162">
        <f t="shared" si="14"/>
        <v>1.1527377521613833E-3</v>
      </c>
    </row>
    <row r="284" spans="1:8" x14ac:dyDescent="0.3">
      <c r="A284" s="25" t="s">
        <v>87</v>
      </c>
      <c r="B284" s="15" t="s">
        <v>76</v>
      </c>
      <c r="C284" s="15">
        <v>58</v>
      </c>
      <c r="D284" s="162">
        <f t="shared" si="14"/>
        <v>3.3429394812680112E-2</v>
      </c>
    </row>
    <row r="285" spans="1:8" x14ac:dyDescent="0.3">
      <c r="A285" s="25" t="s">
        <v>88</v>
      </c>
      <c r="B285" s="15" t="s">
        <v>76</v>
      </c>
      <c r="C285" s="15">
        <v>6</v>
      </c>
      <c r="D285" s="162">
        <f t="shared" si="14"/>
        <v>3.4582132564841498E-3</v>
      </c>
    </row>
    <row r="286" spans="1:8" x14ac:dyDescent="0.3">
      <c r="A286" s="25" t="s">
        <v>89</v>
      </c>
      <c r="B286" s="15" t="s">
        <v>76</v>
      </c>
      <c r="C286" s="15">
        <v>5</v>
      </c>
      <c r="D286" s="162">
        <f t="shared" si="14"/>
        <v>2.881844380403458E-3</v>
      </c>
    </row>
    <row r="287" spans="1:8" x14ac:dyDescent="0.3">
      <c r="A287" s="25" t="s">
        <v>90</v>
      </c>
      <c r="B287" s="15" t="s">
        <v>76</v>
      </c>
      <c r="C287" s="15">
        <v>160</v>
      </c>
      <c r="D287" s="162">
        <f t="shared" si="14"/>
        <v>9.2219020172910657E-2</v>
      </c>
    </row>
    <row r="288" spans="1:8" x14ac:dyDescent="0.3">
      <c r="A288" s="25" t="s">
        <v>91</v>
      </c>
      <c r="B288" s="15" t="s">
        <v>76</v>
      </c>
      <c r="C288" s="15">
        <v>153</v>
      </c>
      <c r="D288" s="162">
        <f t="shared" si="14"/>
        <v>8.8184438040345828E-2</v>
      </c>
    </row>
    <row r="289" spans="1:4" x14ac:dyDescent="0.3">
      <c r="A289" s="25" t="s">
        <v>129</v>
      </c>
      <c r="B289" s="15" t="s">
        <v>78</v>
      </c>
      <c r="C289" s="15">
        <v>1</v>
      </c>
      <c r="D289" s="162">
        <f t="shared" si="14"/>
        <v>5.7636887608069167E-4</v>
      </c>
    </row>
    <row r="290" spans="1:4" x14ac:dyDescent="0.3">
      <c r="A290" s="25" t="s">
        <v>94</v>
      </c>
      <c r="B290" s="15" t="s">
        <v>78</v>
      </c>
      <c r="C290" s="15">
        <v>12</v>
      </c>
      <c r="D290" s="162">
        <f t="shared" si="14"/>
        <v>6.9164265129682996E-3</v>
      </c>
    </row>
    <row r="291" spans="1:4" x14ac:dyDescent="0.3">
      <c r="A291" s="25" t="s">
        <v>122</v>
      </c>
      <c r="B291" s="15" t="s">
        <v>78</v>
      </c>
      <c r="C291" s="15">
        <v>1</v>
      </c>
      <c r="D291" s="162">
        <f t="shared" si="14"/>
        <v>5.7636887608069167E-4</v>
      </c>
    </row>
    <row r="292" spans="1:4" x14ac:dyDescent="0.3">
      <c r="A292" s="25" t="s">
        <v>95</v>
      </c>
      <c r="B292" s="15" t="s">
        <v>78</v>
      </c>
      <c r="C292" s="15">
        <v>37</v>
      </c>
      <c r="D292" s="162">
        <f t="shared" si="14"/>
        <v>2.132564841498559E-2</v>
      </c>
    </row>
    <row r="293" spans="1:4" x14ac:dyDescent="0.3">
      <c r="A293" s="25" t="s">
        <v>96</v>
      </c>
      <c r="B293" s="15" t="s">
        <v>78</v>
      </c>
      <c r="C293" s="15">
        <v>108</v>
      </c>
      <c r="D293" s="162">
        <f t="shared" si="14"/>
        <v>6.22478386167147E-2</v>
      </c>
    </row>
    <row r="294" spans="1:4" x14ac:dyDescent="0.3">
      <c r="A294" s="25" t="s">
        <v>97</v>
      </c>
      <c r="B294" s="15" t="s">
        <v>79</v>
      </c>
      <c r="C294" s="15">
        <v>38</v>
      </c>
      <c r="D294" s="162">
        <f t="shared" si="14"/>
        <v>2.1902017291066282E-2</v>
      </c>
    </row>
    <row r="295" spans="1:4" x14ac:dyDescent="0.3">
      <c r="A295" s="25" t="s">
        <v>118</v>
      </c>
      <c r="B295" s="15" t="s">
        <v>79</v>
      </c>
      <c r="C295" s="15">
        <v>1</v>
      </c>
      <c r="D295" s="162">
        <f t="shared" si="14"/>
        <v>5.7636887608069167E-4</v>
      </c>
    </row>
    <row r="296" spans="1:4" x14ac:dyDescent="0.3">
      <c r="A296" s="25" t="s">
        <v>98</v>
      </c>
      <c r="B296" s="15" t="s">
        <v>79</v>
      </c>
      <c r="C296" s="15">
        <v>6</v>
      </c>
      <c r="D296" s="162">
        <f t="shared" si="14"/>
        <v>3.4582132564841498E-3</v>
      </c>
    </row>
    <row r="297" spans="1:4" x14ac:dyDescent="0.3">
      <c r="A297" s="25" t="s">
        <v>99</v>
      </c>
      <c r="B297" s="15" t="s">
        <v>79</v>
      </c>
      <c r="C297" s="15">
        <v>52</v>
      </c>
      <c r="D297" s="162">
        <f t="shared" si="14"/>
        <v>2.9971181556195964E-2</v>
      </c>
    </row>
    <row r="298" spans="1:4" x14ac:dyDescent="0.3">
      <c r="A298" s="25" t="s">
        <v>100</v>
      </c>
      <c r="B298" s="15" t="s">
        <v>79</v>
      </c>
      <c r="C298" s="15">
        <v>34</v>
      </c>
      <c r="D298" s="162">
        <f t="shared" si="14"/>
        <v>1.9596541786743516E-2</v>
      </c>
    </row>
    <row r="299" spans="1:4" x14ac:dyDescent="0.3">
      <c r="A299" s="25" t="s">
        <v>101</v>
      </c>
      <c r="B299" s="15" t="s">
        <v>79</v>
      </c>
      <c r="C299" s="15">
        <v>20</v>
      </c>
      <c r="D299" s="162">
        <f t="shared" si="14"/>
        <v>1.1527377521613832E-2</v>
      </c>
    </row>
    <row r="300" spans="1:4" x14ac:dyDescent="0.3">
      <c r="A300" s="25" t="s">
        <v>102</v>
      </c>
      <c r="B300" s="15" t="s">
        <v>79</v>
      </c>
      <c r="C300" s="15">
        <v>41</v>
      </c>
      <c r="D300" s="162">
        <f t="shared" si="14"/>
        <v>2.3631123919308359E-2</v>
      </c>
    </row>
    <row r="301" spans="1:4" x14ac:dyDescent="0.3">
      <c r="A301" s="25" t="s">
        <v>103</v>
      </c>
      <c r="B301" s="15" t="s">
        <v>79</v>
      </c>
      <c r="C301" s="15">
        <v>38</v>
      </c>
      <c r="D301" s="162">
        <f t="shared" si="14"/>
        <v>2.1902017291066282E-2</v>
      </c>
    </row>
    <row r="302" spans="1:4" x14ac:dyDescent="0.3">
      <c r="A302" s="25" t="s">
        <v>105</v>
      </c>
      <c r="B302" s="15" t="s">
        <v>81</v>
      </c>
      <c r="C302" s="15">
        <v>36</v>
      </c>
      <c r="D302" s="162">
        <f t="shared" si="14"/>
        <v>2.0749279538904899E-2</v>
      </c>
    </row>
    <row r="303" spans="1:4" x14ac:dyDescent="0.3">
      <c r="A303" s="25" t="s">
        <v>106</v>
      </c>
      <c r="B303" s="15" t="s">
        <v>81</v>
      </c>
      <c r="C303" s="15">
        <v>35</v>
      </c>
      <c r="D303" s="162">
        <f t="shared" si="14"/>
        <v>2.0172910662824207E-2</v>
      </c>
    </row>
    <row r="304" spans="1:4" x14ac:dyDescent="0.3">
      <c r="A304" s="25" t="s">
        <v>107</v>
      </c>
      <c r="B304" s="15" t="s">
        <v>81</v>
      </c>
      <c r="C304" s="15">
        <v>222</v>
      </c>
      <c r="D304" s="162">
        <f t="shared" si="14"/>
        <v>0.12795389048991354</v>
      </c>
    </row>
    <row r="305" spans="1:4" x14ac:dyDescent="0.3">
      <c r="A305" s="25" t="s">
        <v>133</v>
      </c>
      <c r="B305" s="15" t="s">
        <v>81</v>
      </c>
      <c r="C305" s="15">
        <v>141</v>
      </c>
      <c r="D305" s="162">
        <f t="shared" si="14"/>
        <v>8.1268011527377518E-2</v>
      </c>
    </row>
    <row r="306" spans="1:4" ht="14.5" thickBot="1" x14ac:dyDescent="0.35">
      <c r="A306" s="34" t="s">
        <v>130</v>
      </c>
      <c r="B306" s="24" t="s">
        <v>125</v>
      </c>
      <c r="C306" s="24">
        <v>84</v>
      </c>
      <c r="D306" s="169" t="s">
        <v>111</v>
      </c>
    </row>
  </sheetData>
  <sheetProtection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7030A0"/>
  </sheetPr>
  <dimension ref="A1:S252"/>
  <sheetViews>
    <sheetView showGridLines="0" zoomScale="75" zoomScaleNormal="75" workbookViewId="0">
      <selection activeCell="F6" sqref="F6"/>
    </sheetView>
  </sheetViews>
  <sheetFormatPr defaultColWidth="9" defaultRowHeight="14" x14ac:dyDescent="0.3"/>
  <cols>
    <col min="1" max="1" width="83.81640625" style="13" customWidth="1"/>
    <col min="2" max="2" width="18.453125" style="13" customWidth="1"/>
    <col min="3" max="3" width="16" style="13" customWidth="1"/>
    <col min="4" max="4" width="15.7265625" style="13" customWidth="1"/>
    <col min="5" max="5" width="16.54296875" style="13" customWidth="1"/>
    <col min="6" max="6" width="78.26953125" style="13" bestFit="1" customWidth="1"/>
    <col min="7" max="7" width="11" style="13" bestFit="1" customWidth="1"/>
    <col min="8" max="8" width="14" style="13" customWidth="1"/>
    <col min="9" max="16384" width="9" style="13"/>
  </cols>
  <sheetData>
    <row r="1" spans="1:5" x14ac:dyDescent="0.3">
      <c r="A1" s="59" t="s">
        <v>152</v>
      </c>
      <c r="B1" s="60" t="s">
        <v>1</v>
      </c>
      <c r="C1" s="60" t="s">
        <v>2</v>
      </c>
      <c r="D1" s="61" t="s">
        <v>3</v>
      </c>
      <c r="E1" s="62" t="s">
        <v>4</v>
      </c>
    </row>
    <row r="2" spans="1:5" x14ac:dyDescent="0.3">
      <c r="A2" s="65" t="s">
        <v>5</v>
      </c>
      <c r="B2" s="66">
        <v>3</v>
      </c>
      <c r="C2" s="66">
        <v>3</v>
      </c>
      <c r="D2" s="67">
        <v>3</v>
      </c>
      <c r="E2" s="63">
        <v>3</v>
      </c>
    </row>
    <row r="3" spans="1:5" x14ac:dyDescent="0.3">
      <c r="A3" s="28" t="s">
        <v>6</v>
      </c>
      <c r="B3" s="29">
        <v>3</v>
      </c>
      <c r="C3" s="29">
        <v>3</v>
      </c>
      <c r="D3" s="52">
        <v>3</v>
      </c>
      <c r="E3" s="63">
        <v>3</v>
      </c>
    </row>
    <row r="4" spans="1:5" x14ac:dyDescent="0.3">
      <c r="A4" s="28" t="s">
        <v>7</v>
      </c>
      <c r="B4" s="29">
        <v>3</v>
      </c>
      <c r="C4" s="29">
        <v>3</v>
      </c>
      <c r="D4" s="52">
        <v>3</v>
      </c>
      <c r="E4" s="63">
        <v>3</v>
      </c>
    </row>
    <row r="5" spans="1:5" x14ac:dyDescent="0.3">
      <c r="A5" s="28" t="s">
        <v>8</v>
      </c>
      <c r="B5" s="29">
        <v>2</v>
      </c>
      <c r="C5" s="29">
        <v>2</v>
      </c>
      <c r="D5" s="52">
        <v>2</v>
      </c>
      <c r="E5" s="63">
        <v>2</v>
      </c>
    </row>
    <row r="6" spans="1:5" x14ac:dyDescent="0.3">
      <c r="A6" s="31" t="s">
        <v>9</v>
      </c>
      <c r="B6" s="32">
        <v>0</v>
      </c>
      <c r="C6" s="32">
        <v>0</v>
      </c>
      <c r="D6" s="53">
        <v>0</v>
      </c>
      <c r="E6" s="64">
        <v>0</v>
      </c>
    </row>
    <row r="9" spans="1:5" ht="14.5" thickBot="1" x14ac:dyDescent="0.35"/>
    <row r="10" spans="1:5" x14ac:dyDescent="0.3">
      <c r="A10" s="8" t="s">
        <v>135</v>
      </c>
      <c r="B10" s="9" t="s">
        <v>1</v>
      </c>
      <c r="C10" s="9" t="s">
        <v>2</v>
      </c>
      <c r="D10" s="12" t="s">
        <v>3</v>
      </c>
      <c r="E10" s="58" t="s">
        <v>4</v>
      </c>
    </row>
    <row r="11" spans="1:5" x14ac:dyDescent="0.3">
      <c r="A11" s="10" t="s">
        <v>11</v>
      </c>
      <c r="B11" s="15">
        <v>113</v>
      </c>
      <c r="C11" s="15">
        <v>125</v>
      </c>
      <c r="D11" s="54">
        <v>143</v>
      </c>
      <c r="E11" s="69">
        <v>133</v>
      </c>
    </row>
    <row r="12" spans="1:5" x14ac:dyDescent="0.3">
      <c r="A12" s="10" t="s">
        <v>12</v>
      </c>
      <c r="B12" s="15">
        <v>234</v>
      </c>
      <c r="C12" s="15">
        <v>261</v>
      </c>
      <c r="D12" s="54">
        <v>285</v>
      </c>
      <c r="E12" s="69">
        <v>266</v>
      </c>
    </row>
    <row r="13" spans="1:5" x14ac:dyDescent="0.3">
      <c r="A13" s="10" t="s">
        <v>13</v>
      </c>
      <c r="B13" s="23">
        <v>30082.21</v>
      </c>
      <c r="C13" s="23">
        <v>34441.370000000003</v>
      </c>
      <c r="D13" s="55">
        <v>40195.040000000001</v>
      </c>
      <c r="E13" s="68">
        <v>37312.269999999997</v>
      </c>
    </row>
    <row r="14" spans="1:5" x14ac:dyDescent="0.3">
      <c r="A14" s="10" t="s">
        <v>14</v>
      </c>
      <c r="B14" s="23">
        <f>B13*52/B11</f>
        <v>13843.140884955752</v>
      </c>
      <c r="C14" s="23">
        <f t="shared" ref="C14" si="0">C13*52/C11</f>
        <v>14327.609920000003</v>
      </c>
      <c r="D14" s="55">
        <f>D13*52/D11</f>
        <v>14616.378181818181</v>
      </c>
      <c r="E14" s="68">
        <f>E13*52/E11</f>
        <v>14588.255939849623</v>
      </c>
    </row>
    <row r="15" spans="1:5" x14ac:dyDescent="0.3">
      <c r="A15" s="10" t="s">
        <v>15</v>
      </c>
      <c r="B15" s="23">
        <f>B13*52</f>
        <v>1564274.92</v>
      </c>
      <c r="C15" s="23">
        <f t="shared" ref="C15:D15" si="1">C13*52</f>
        <v>1790951.2400000002</v>
      </c>
      <c r="D15" s="55">
        <f t="shared" si="1"/>
        <v>2090142.08</v>
      </c>
      <c r="E15" s="85">
        <f>E13*52</f>
        <v>1940238.0399999998</v>
      </c>
    </row>
    <row r="16" spans="1:5" ht="14.5" thickBot="1" x14ac:dyDescent="0.35">
      <c r="A16" s="114" t="s">
        <v>16</v>
      </c>
      <c r="B16" s="24">
        <v>349</v>
      </c>
      <c r="C16" s="24">
        <v>363</v>
      </c>
      <c r="D16" s="56">
        <v>370</v>
      </c>
      <c r="E16" s="70">
        <v>433</v>
      </c>
    </row>
    <row r="17" spans="1:6" x14ac:dyDescent="0.3">
      <c r="A17" s="112" t="s">
        <v>17</v>
      </c>
      <c r="B17" s="140">
        <v>57</v>
      </c>
      <c r="C17" s="140">
        <v>68</v>
      </c>
      <c r="D17" s="159">
        <v>72</v>
      </c>
      <c r="E17" s="113">
        <v>73</v>
      </c>
      <c r="F17" s="51"/>
    </row>
    <row r="18" spans="1:6" x14ac:dyDescent="0.3">
      <c r="A18" s="25" t="s">
        <v>18</v>
      </c>
      <c r="B18" s="41">
        <v>7</v>
      </c>
      <c r="C18" s="41">
        <v>8</v>
      </c>
      <c r="D18" s="87">
        <v>9</v>
      </c>
      <c r="E18" s="69">
        <v>10</v>
      </c>
      <c r="F18" s="93"/>
    </row>
    <row r="19" spans="1:6" x14ac:dyDescent="0.3">
      <c r="A19" s="78" t="s">
        <v>19</v>
      </c>
      <c r="B19" s="122">
        <f>B18/B17</f>
        <v>0.12280701754385964</v>
      </c>
      <c r="C19" s="122">
        <f>C18/C17</f>
        <v>0.11764705882352941</v>
      </c>
      <c r="D19" s="122">
        <f>D18/D17</f>
        <v>0.125</v>
      </c>
      <c r="E19" s="185">
        <f>E18/E17</f>
        <v>0.13698630136986301</v>
      </c>
      <c r="F19" s="93"/>
    </row>
    <row r="20" spans="1:6" ht="14.5" thickBot="1" x14ac:dyDescent="0.35">
      <c r="A20" s="34" t="s">
        <v>20</v>
      </c>
      <c r="B20" s="72">
        <v>13</v>
      </c>
      <c r="C20" s="72">
        <v>19</v>
      </c>
      <c r="D20" s="160">
        <v>25</v>
      </c>
      <c r="E20" s="70">
        <v>22</v>
      </c>
      <c r="F20" s="51"/>
    </row>
    <row r="21" spans="1:6" x14ac:dyDescent="0.3">
      <c r="A21" s="112" t="s">
        <v>21</v>
      </c>
      <c r="B21" s="140">
        <v>10</v>
      </c>
      <c r="C21" s="140">
        <v>24</v>
      </c>
      <c r="D21" s="159">
        <v>33</v>
      </c>
      <c r="E21" s="113">
        <v>33</v>
      </c>
      <c r="F21" s="51"/>
    </row>
    <row r="22" spans="1:6" x14ac:dyDescent="0.3">
      <c r="A22" s="25" t="s">
        <v>136</v>
      </c>
      <c r="B22" s="41">
        <v>2</v>
      </c>
      <c r="C22" s="41">
        <v>6</v>
      </c>
      <c r="D22" s="87">
        <v>14</v>
      </c>
      <c r="E22" s="69">
        <v>12</v>
      </c>
      <c r="F22" s="93"/>
    </row>
    <row r="23" spans="1:6" x14ac:dyDescent="0.3">
      <c r="A23" s="25" t="s">
        <v>23</v>
      </c>
      <c r="B23" s="41">
        <v>2</v>
      </c>
      <c r="C23" s="41">
        <v>2</v>
      </c>
      <c r="D23" s="87">
        <v>3</v>
      </c>
      <c r="E23" s="69">
        <v>4</v>
      </c>
      <c r="F23" s="51"/>
    </row>
    <row r="24" spans="1:6" x14ac:dyDescent="0.3">
      <c r="A24" s="25" t="s">
        <v>24</v>
      </c>
      <c r="B24" s="15">
        <v>2</v>
      </c>
      <c r="C24" s="15">
        <v>1</v>
      </c>
      <c r="D24" s="15">
        <v>1</v>
      </c>
      <c r="E24" s="69">
        <v>1</v>
      </c>
      <c r="F24" s="51"/>
    </row>
    <row r="25" spans="1:6" ht="14.5" thickBot="1" x14ac:dyDescent="0.35">
      <c r="A25" s="34" t="s">
        <v>25</v>
      </c>
      <c r="B25" s="143">
        <f>(B24+B23+B21)/(B11-B26)</f>
        <v>0.16666666666666666</v>
      </c>
      <c r="C25" s="143">
        <f>(C24+C23+C21)/(C11-C26)</f>
        <v>0.23684210526315788</v>
      </c>
      <c r="D25" s="143">
        <f>(D24+D23+D21)/(D11-D26)</f>
        <v>0.27611940298507465</v>
      </c>
      <c r="E25" s="184">
        <f t="shared" ref="E25" si="2">(E24+E23+E21)/(E11-E26)</f>
        <v>0.2857142857142857</v>
      </c>
      <c r="F25" s="51"/>
    </row>
    <row r="26" spans="1:6" ht="14.5" thickBot="1" x14ac:dyDescent="0.35">
      <c r="A26" s="115" t="s">
        <v>26</v>
      </c>
      <c r="B26" s="24">
        <v>29</v>
      </c>
      <c r="C26" s="24">
        <v>11</v>
      </c>
      <c r="D26" s="24">
        <v>9</v>
      </c>
      <c r="E26" s="70">
        <v>0</v>
      </c>
      <c r="F26" s="51"/>
    </row>
    <row r="27" spans="1:6" x14ac:dyDescent="0.3">
      <c r="A27" s="112" t="s">
        <v>27</v>
      </c>
      <c r="B27" s="46">
        <v>53</v>
      </c>
      <c r="C27" s="46">
        <v>44</v>
      </c>
      <c r="D27" s="158">
        <v>57</v>
      </c>
      <c r="E27" s="113">
        <v>37</v>
      </c>
    </row>
    <row r="28" spans="1:6" x14ac:dyDescent="0.3">
      <c r="A28" s="25" t="s">
        <v>28</v>
      </c>
      <c r="B28" s="15">
        <v>40</v>
      </c>
      <c r="C28" s="15">
        <v>32</v>
      </c>
      <c r="D28" s="54">
        <v>39</v>
      </c>
      <c r="E28" s="69">
        <v>10</v>
      </c>
    </row>
    <row r="29" spans="1:6" ht="14.5" thickBot="1" x14ac:dyDescent="0.35">
      <c r="A29" s="34" t="s">
        <v>29</v>
      </c>
      <c r="B29" s="24">
        <v>16</v>
      </c>
      <c r="C29" s="24">
        <v>21</v>
      </c>
      <c r="D29" s="56">
        <v>21</v>
      </c>
      <c r="E29" s="70">
        <v>20</v>
      </c>
    </row>
    <row r="32" spans="1:6" ht="14.5" thickBot="1" x14ac:dyDescent="0.35"/>
    <row r="33" spans="1:6" x14ac:dyDescent="0.3">
      <c r="A33" s="8" t="s">
        <v>30</v>
      </c>
      <c r="B33" s="9" t="s">
        <v>1</v>
      </c>
      <c r="C33" s="9" t="s">
        <v>2</v>
      </c>
      <c r="D33" s="9" t="s">
        <v>3</v>
      </c>
      <c r="E33" s="58" t="s">
        <v>4</v>
      </c>
    </row>
    <row r="34" spans="1:6" x14ac:dyDescent="0.3">
      <c r="A34" s="25" t="s">
        <v>11</v>
      </c>
      <c r="B34" s="15">
        <v>44</v>
      </c>
      <c r="C34" s="15">
        <v>57</v>
      </c>
      <c r="D34" s="15">
        <v>49</v>
      </c>
      <c r="E34" s="69">
        <v>51</v>
      </c>
    </row>
    <row r="35" spans="1:6" x14ac:dyDescent="0.3">
      <c r="A35" s="25" t="s">
        <v>13</v>
      </c>
      <c r="B35" s="23">
        <v>10528.52</v>
      </c>
      <c r="C35" s="23">
        <v>14708.59</v>
      </c>
      <c r="D35" s="23">
        <v>11856.14</v>
      </c>
      <c r="E35" s="68">
        <v>11160.68</v>
      </c>
    </row>
    <row r="36" spans="1:6" x14ac:dyDescent="0.3">
      <c r="A36" s="25" t="s">
        <v>14</v>
      </c>
      <c r="B36" s="23">
        <f>B35*52/B34</f>
        <v>12442.796363636364</v>
      </c>
      <c r="C36" s="23">
        <f t="shared" ref="C36:D36" si="3">C35*52/C34</f>
        <v>13418.362807017545</v>
      </c>
      <c r="D36" s="23">
        <f t="shared" si="3"/>
        <v>12582.02612244898</v>
      </c>
      <c r="E36" s="68">
        <f>E35*52/E34</f>
        <v>11379.516862745098</v>
      </c>
    </row>
    <row r="37" spans="1:6" x14ac:dyDescent="0.3">
      <c r="A37" s="25" t="s">
        <v>15</v>
      </c>
      <c r="B37" s="23">
        <f>B35*52</f>
        <v>547483.04</v>
      </c>
      <c r="C37" s="23">
        <f t="shared" ref="C37:D37" si="4">C35*52</f>
        <v>764846.68</v>
      </c>
      <c r="D37" s="23">
        <f t="shared" si="4"/>
        <v>616519.28</v>
      </c>
      <c r="E37" s="68">
        <f>E35*52</f>
        <v>580355.36</v>
      </c>
    </row>
    <row r="38" spans="1:6" ht="14.5" thickBot="1" x14ac:dyDescent="0.35">
      <c r="A38" s="34" t="s">
        <v>16</v>
      </c>
      <c r="B38" s="24">
        <v>1216</v>
      </c>
      <c r="C38" s="24">
        <v>1001</v>
      </c>
      <c r="D38" s="24">
        <v>1179</v>
      </c>
      <c r="E38" s="70">
        <v>1197</v>
      </c>
    </row>
    <row r="39" spans="1:6" x14ac:dyDescent="0.3">
      <c r="A39" s="112" t="s">
        <v>31</v>
      </c>
      <c r="B39" s="46">
        <v>15</v>
      </c>
      <c r="C39" s="46">
        <v>22</v>
      </c>
      <c r="D39" s="46">
        <v>20</v>
      </c>
      <c r="E39" s="113">
        <v>27</v>
      </c>
      <c r="F39" s="51"/>
    </row>
    <row r="40" spans="1:6" x14ac:dyDescent="0.3">
      <c r="A40" s="25" t="s">
        <v>32</v>
      </c>
      <c r="B40" s="15">
        <v>0</v>
      </c>
      <c r="C40" s="15">
        <v>0</v>
      </c>
      <c r="D40" s="15">
        <v>3</v>
      </c>
      <c r="E40" s="69">
        <v>9</v>
      </c>
      <c r="F40" s="93"/>
    </row>
    <row r="41" spans="1:6" x14ac:dyDescent="0.3">
      <c r="A41" s="78" t="s">
        <v>19</v>
      </c>
      <c r="B41" s="122">
        <f>B40/B39</f>
        <v>0</v>
      </c>
      <c r="C41" s="122">
        <f t="shared" ref="C41:E41" si="5">C40/C39</f>
        <v>0</v>
      </c>
      <c r="D41" s="122">
        <f t="shared" si="5"/>
        <v>0.15</v>
      </c>
      <c r="E41" s="185">
        <f t="shared" si="5"/>
        <v>0.33333333333333331</v>
      </c>
      <c r="F41" s="93"/>
    </row>
    <row r="42" spans="1:6" ht="14.5" thickBot="1" x14ac:dyDescent="0.35">
      <c r="A42" s="34" t="s">
        <v>33</v>
      </c>
      <c r="B42" s="24">
        <v>0</v>
      </c>
      <c r="C42" s="24">
        <v>3</v>
      </c>
      <c r="D42" s="24">
        <v>2</v>
      </c>
      <c r="E42" s="70">
        <v>4</v>
      </c>
      <c r="F42" s="51"/>
    </row>
    <row r="43" spans="1:6" x14ac:dyDescent="0.3">
      <c r="A43" s="112" t="s">
        <v>34</v>
      </c>
      <c r="B43" s="46">
        <v>5</v>
      </c>
      <c r="C43" s="46">
        <v>10</v>
      </c>
      <c r="D43" s="46">
        <v>7</v>
      </c>
      <c r="E43" s="113">
        <v>7</v>
      </c>
      <c r="F43" s="51"/>
    </row>
    <row r="44" spans="1:6" x14ac:dyDescent="0.3">
      <c r="A44" s="25" t="s">
        <v>35</v>
      </c>
      <c r="B44" s="15">
        <v>1</v>
      </c>
      <c r="C44" s="15">
        <v>3</v>
      </c>
      <c r="D44" s="15">
        <v>4</v>
      </c>
      <c r="E44" s="69">
        <v>5</v>
      </c>
      <c r="F44" s="93"/>
    </row>
    <row r="45" spans="1:6" x14ac:dyDescent="0.3">
      <c r="A45" s="25" t="s">
        <v>36</v>
      </c>
      <c r="B45" s="15">
        <v>0</v>
      </c>
      <c r="C45" s="15">
        <v>1</v>
      </c>
      <c r="D45" s="15">
        <v>0</v>
      </c>
      <c r="E45" s="69">
        <v>0</v>
      </c>
      <c r="F45" s="51"/>
    </row>
    <row r="46" spans="1:6" x14ac:dyDescent="0.3">
      <c r="A46" s="25" t="s">
        <v>37</v>
      </c>
      <c r="B46" s="15">
        <v>0</v>
      </c>
      <c r="C46" s="15">
        <v>0</v>
      </c>
      <c r="D46" s="15">
        <v>1</v>
      </c>
      <c r="E46" s="69">
        <v>1</v>
      </c>
      <c r="F46" s="51"/>
    </row>
    <row r="47" spans="1:6" ht="14.5" thickBot="1" x14ac:dyDescent="0.35">
      <c r="A47" s="34" t="s">
        <v>25</v>
      </c>
      <c r="B47" s="143">
        <f>(B46+B45+B43)/(B34-B48)</f>
        <v>0.25</v>
      </c>
      <c r="C47" s="143">
        <f t="shared" ref="C47:E47" si="6">(C46+C45+C43)/(C34-C48)</f>
        <v>0.30555555555555558</v>
      </c>
      <c r="D47" s="143">
        <f t="shared" si="6"/>
        <v>0.26666666666666666</v>
      </c>
      <c r="E47" s="184">
        <f t="shared" si="6"/>
        <v>0.20512820512820512</v>
      </c>
      <c r="F47" s="51"/>
    </row>
    <row r="48" spans="1:6" ht="14.5" thickBot="1" x14ac:dyDescent="0.35">
      <c r="A48" s="115" t="s">
        <v>26</v>
      </c>
      <c r="B48" s="24">
        <v>24</v>
      </c>
      <c r="C48" s="24">
        <v>21</v>
      </c>
      <c r="D48" s="24">
        <v>19</v>
      </c>
      <c r="E48" s="70">
        <v>12</v>
      </c>
      <c r="F48" s="51"/>
    </row>
    <row r="49" spans="1:8" x14ac:dyDescent="0.3">
      <c r="A49" s="112" t="s">
        <v>27</v>
      </c>
      <c r="B49" s="46">
        <v>28</v>
      </c>
      <c r="C49" s="46">
        <v>48</v>
      </c>
      <c r="D49" s="46">
        <v>32</v>
      </c>
      <c r="E49" s="113">
        <v>28</v>
      </c>
    </row>
    <row r="50" spans="1:8" x14ac:dyDescent="0.3">
      <c r="A50" s="25" t="s">
        <v>28</v>
      </c>
      <c r="B50" s="15">
        <v>21</v>
      </c>
      <c r="C50" s="15">
        <v>35</v>
      </c>
      <c r="D50" s="15">
        <v>22</v>
      </c>
      <c r="E50" s="69">
        <v>18</v>
      </c>
    </row>
    <row r="51" spans="1:8" ht="14.5" thickBot="1" x14ac:dyDescent="0.35">
      <c r="A51" s="34" t="s">
        <v>29</v>
      </c>
      <c r="B51" s="24">
        <v>20</v>
      </c>
      <c r="C51" s="24">
        <v>22</v>
      </c>
      <c r="D51" s="24">
        <v>30</v>
      </c>
      <c r="E51" s="70">
        <v>16</v>
      </c>
    </row>
    <row r="54" spans="1:8" ht="14.5" thickBot="1" x14ac:dyDescent="0.35"/>
    <row r="55" spans="1:8" x14ac:dyDescent="0.3">
      <c r="A55" s="8" t="s">
        <v>137</v>
      </c>
      <c r="B55" s="9" t="s">
        <v>1</v>
      </c>
      <c r="C55" s="9" t="s">
        <v>2</v>
      </c>
      <c r="D55" s="9" t="s">
        <v>3</v>
      </c>
      <c r="E55" s="58" t="s">
        <v>4</v>
      </c>
    </row>
    <row r="56" spans="1:8" x14ac:dyDescent="0.3">
      <c r="A56" s="25" t="s">
        <v>39</v>
      </c>
      <c r="B56" s="15">
        <v>5</v>
      </c>
      <c r="C56" s="15">
        <v>6</v>
      </c>
      <c r="D56" s="15">
        <v>4</v>
      </c>
      <c r="E56" s="69">
        <v>5</v>
      </c>
    </row>
    <row r="57" spans="1:8" x14ac:dyDescent="0.3">
      <c r="A57" s="25" t="s">
        <v>40</v>
      </c>
      <c r="B57" s="15">
        <v>4</v>
      </c>
      <c r="C57" s="15">
        <v>4</v>
      </c>
      <c r="D57" s="15">
        <v>3</v>
      </c>
      <c r="E57" s="69">
        <v>4</v>
      </c>
    </row>
    <row r="58" spans="1:8" x14ac:dyDescent="0.3">
      <c r="A58" s="25" t="s">
        <v>41</v>
      </c>
      <c r="B58" s="15">
        <v>1</v>
      </c>
      <c r="C58" s="15">
        <v>2</v>
      </c>
      <c r="D58" s="15">
        <v>1</v>
      </c>
      <c r="E58" s="69">
        <v>1</v>
      </c>
    </row>
    <row r="59" spans="1:8" ht="14.5" thickBot="1" x14ac:dyDescent="0.35">
      <c r="A59" s="34" t="s">
        <v>42</v>
      </c>
      <c r="B59" s="24">
        <v>0</v>
      </c>
      <c r="C59" s="24">
        <v>0</v>
      </c>
      <c r="D59" s="24">
        <v>0</v>
      </c>
      <c r="E59" s="70">
        <v>0</v>
      </c>
    </row>
    <row r="60" spans="1:8" x14ac:dyDescent="0.3">
      <c r="A60" s="112" t="s">
        <v>43</v>
      </c>
      <c r="B60" s="46">
        <v>0</v>
      </c>
      <c r="C60" s="46">
        <v>0</v>
      </c>
      <c r="D60" s="46">
        <v>0</v>
      </c>
      <c r="E60" s="113">
        <v>0</v>
      </c>
    </row>
    <row r="61" spans="1:8" x14ac:dyDescent="0.3">
      <c r="A61" s="25" t="s">
        <v>44</v>
      </c>
      <c r="B61" s="23">
        <v>0</v>
      </c>
      <c r="C61" s="23">
        <v>0</v>
      </c>
      <c r="D61" s="23">
        <v>0</v>
      </c>
      <c r="E61" s="68">
        <v>0</v>
      </c>
    </row>
    <row r="62" spans="1:8" x14ac:dyDescent="0.3">
      <c r="A62" s="25" t="s">
        <v>14</v>
      </c>
      <c r="B62" s="23">
        <v>0</v>
      </c>
      <c r="C62" s="23">
        <v>0</v>
      </c>
      <c r="D62" s="23">
        <v>0</v>
      </c>
      <c r="E62" s="68">
        <v>0</v>
      </c>
    </row>
    <row r="63" spans="1:8" ht="14.5" thickBot="1" x14ac:dyDescent="0.35">
      <c r="A63" s="34" t="s">
        <v>15</v>
      </c>
      <c r="B63" s="120">
        <v>0</v>
      </c>
      <c r="C63" s="120">
        <v>0</v>
      </c>
      <c r="D63" s="120">
        <v>0</v>
      </c>
      <c r="E63" s="121">
        <v>0</v>
      </c>
      <c r="H63" s="173"/>
    </row>
    <row r="64" spans="1:8" x14ac:dyDescent="0.3">
      <c r="A64" s="112" t="s">
        <v>45</v>
      </c>
      <c r="B64" s="46">
        <v>0</v>
      </c>
      <c r="C64" s="46">
        <v>0</v>
      </c>
      <c r="D64" s="46">
        <v>0</v>
      </c>
      <c r="E64" s="113">
        <v>0</v>
      </c>
    </row>
    <row r="65" spans="1:6" x14ac:dyDescent="0.3">
      <c r="A65" s="78" t="s">
        <v>46</v>
      </c>
      <c r="B65" s="15">
        <v>0</v>
      </c>
      <c r="C65" s="15">
        <v>2</v>
      </c>
      <c r="D65" s="15">
        <v>0</v>
      </c>
      <c r="E65" s="69">
        <v>1</v>
      </c>
    </row>
    <row r="66" spans="1:6" ht="14.5" thickBot="1" x14ac:dyDescent="0.35">
      <c r="A66" s="34" t="s">
        <v>47</v>
      </c>
      <c r="B66" s="24">
        <v>0</v>
      </c>
      <c r="C66" s="24">
        <v>1</v>
      </c>
      <c r="D66" s="24">
        <v>2</v>
      </c>
      <c r="E66" s="70">
        <v>0</v>
      </c>
    </row>
    <row r="67" spans="1:6" x14ac:dyDescent="0.3">
      <c r="A67" s="104"/>
      <c r="B67" s="37"/>
      <c r="C67" s="37"/>
      <c r="D67" s="37"/>
      <c r="E67" s="37"/>
    </row>
    <row r="68" spans="1:6" x14ac:dyDescent="0.3">
      <c r="A68" s="104"/>
      <c r="B68" s="37"/>
      <c r="C68" s="37"/>
      <c r="D68" s="37"/>
      <c r="E68" s="37"/>
    </row>
    <row r="69" spans="1:6" x14ac:dyDescent="0.3">
      <c r="A69" s="104"/>
      <c r="B69" s="37"/>
      <c r="C69" s="37"/>
      <c r="D69" s="37"/>
      <c r="E69" s="37"/>
    </row>
    <row r="70" spans="1:6" x14ac:dyDescent="0.3">
      <c r="A70" s="16"/>
      <c r="C70" s="17"/>
    </row>
    <row r="71" spans="1:6" x14ac:dyDescent="0.3">
      <c r="A71" s="16"/>
      <c r="C71" s="17"/>
    </row>
    <row r="72" spans="1:6" x14ac:dyDescent="0.3">
      <c r="A72" s="16"/>
      <c r="C72" s="17"/>
    </row>
    <row r="73" spans="1:6" x14ac:dyDescent="0.3">
      <c r="A73" s="16"/>
      <c r="C73" s="17"/>
    </row>
    <row r="74" spans="1:6" s="1" customFormat="1" ht="14.5" thickBot="1" x14ac:dyDescent="0.35">
      <c r="A74" s="11"/>
    </row>
    <row r="75" spans="1:6" s="1" customFormat="1" x14ac:dyDescent="0.3">
      <c r="A75" s="190" t="s">
        <v>48</v>
      </c>
      <c r="B75" s="73" t="s">
        <v>49</v>
      </c>
      <c r="C75" s="191" t="s">
        <v>50</v>
      </c>
    </row>
    <row r="76" spans="1:6" s="1" customFormat="1" x14ac:dyDescent="0.3">
      <c r="A76" s="10" t="s">
        <v>51</v>
      </c>
      <c r="B76" s="123">
        <v>6</v>
      </c>
      <c r="C76" s="171">
        <f t="shared" ref="C76:C82" si="7">B76/78</f>
        <v>7.6923076923076927E-2</v>
      </c>
    </row>
    <row r="77" spans="1:6" s="1" customFormat="1" x14ac:dyDescent="0.3">
      <c r="A77" s="10" t="s">
        <v>52</v>
      </c>
      <c r="B77" s="123">
        <v>0</v>
      </c>
      <c r="C77" s="171">
        <f t="shared" si="7"/>
        <v>0</v>
      </c>
    </row>
    <row r="78" spans="1:6" s="1" customFormat="1" x14ac:dyDescent="0.3">
      <c r="A78" s="10" t="s">
        <v>53</v>
      </c>
      <c r="B78" s="123">
        <v>0</v>
      </c>
      <c r="C78" s="171">
        <f t="shared" si="7"/>
        <v>0</v>
      </c>
    </row>
    <row r="79" spans="1:6" s="1" customFormat="1" x14ac:dyDescent="0.3">
      <c r="A79" s="10" t="s">
        <v>54</v>
      </c>
      <c r="B79" s="123">
        <v>48</v>
      </c>
      <c r="C79" s="171">
        <v>0.61</v>
      </c>
    </row>
    <row r="80" spans="1:6" s="1" customFormat="1" x14ac:dyDescent="0.3">
      <c r="A80" s="10" t="s">
        <v>55</v>
      </c>
      <c r="B80" s="123">
        <v>7</v>
      </c>
      <c r="C80" s="171">
        <f t="shared" si="7"/>
        <v>8.9743589743589744E-2</v>
      </c>
      <c r="F80" s="84"/>
    </row>
    <row r="81" spans="1:4" s="1" customFormat="1" x14ac:dyDescent="0.3">
      <c r="A81" s="10" t="s">
        <v>56</v>
      </c>
      <c r="B81" s="123">
        <v>2</v>
      </c>
      <c r="C81" s="171">
        <f t="shared" si="7"/>
        <v>2.564102564102564E-2</v>
      </c>
    </row>
    <row r="82" spans="1:4" s="1" customFormat="1" x14ac:dyDescent="0.3">
      <c r="A82" s="10" t="s">
        <v>57</v>
      </c>
      <c r="B82" s="123">
        <v>15</v>
      </c>
      <c r="C82" s="171">
        <f t="shared" si="7"/>
        <v>0.19230769230769232</v>
      </c>
    </row>
    <row r="83" spans="1:4" s="1" customFormat="1" ht="14.5" thickBot="1" x14ac:dyDescent="0.35">
      <c r="A83" s="192" t="s">
        <v>49</v>
      </c>
      <c r="B83" s="193">
        <f>SUM(B76:B82)</f>
        <v>78</v>
      </c>
      <c r="C83" s="194">
        <f>SUM(C76:C82)</f>
        <v>0.99461538461538468</v>
      </c>
    </row>
    <row r="84" spans="1:4" s="1" customFormat="1" x14ac:dyDescent="0.3">
      <c r="A84" s="174"/>
      <c r="B84" s="174"/>
      <c r="C84" s="175"/>
      <c r="D84" s="174"/>
    </row>
    <row r="85" spans="1:4" s="1" customFormat="1" ht="14.5" thickBot="1" x14ac:dyDescent="0.35">
      <c r="A85" s="174"/>
      <c r="B85" s="174"/>
      <c r="C85" s="175"/>
      <c r="D85" s="174"/>
    </row>
    <row r="86" spans="1:4" s="1" customFormat="1" ht="14.25" customHeight="1" x14ac:dyDescent="0.3">
      <c r="A86" s="238" t="s">
        <v>58</v>
      </c>
      <c r="B86" s="239" t="s">
        <v>49</v>
      </c>
      <c r="C86" s="240" t="s">
        <v>50</v>
      </c>
      <c r="D86" s="80"/>
    </row>
    <row r="87" spans="1:4" s="1" customFormat="1" ht="14.25" customHeight="1" x14ac:dyDescent="0.3">
      <c r="A87" s="195" t="s">
        <v>59</v>
      </c>
      <c r="B87" s="123">
        <v>2</v>
      </c>
      <c r="C87" s="196">
        <f>B87/15</f>
        <v>0.13333333333333333</v>
      </c>
      <c r="D87" s="80"/>
    </row>
    <row r="88" spans="1:4" s="1" customFormat="1" ht="14.25" customHeight="1" x14ac:dyDescent="0.3">
      <c r="A88" s="195" t="s">
        <v>60</v>
      </c>
      <c r="B88" s="123">
        <v>2</v>
      </c>
      <c r="C88" s="196">
        <f t="shared" ref="C88:C91" si="8">B88/15</f>
        <v>0.13333333333333333</v>
      </c>
      <c r="D88" s="80"/>
    </row>
    <row r="89" spans="1:4" s="1" customFormat="1" ht="14.25" customHeight="1" x14ac:dyDescent="0.3">
      <c r="A89" s="195" t="s">
        <v>61</v>
      </c>
      <c r="B89" s="123">
        <v>4</v>
      </c>
      <c r="C89" s="196">
        <f t="shared" si="8"/>
        <v>0.26666666666666666</v>
      </c>
      <c r="D89" s="80"/>
    </row>
    <row r="90" spans="1:4" s="1" customFormat="1" ht="14.25" customHeight="1" x14ac:dyDescent="0.3">
      <c r="A90" s="195" t="s">
        <v>62</v>
      </c>
      <c r="B90" s="123">
        <v>3</v>
      </c>
      <c r="C90" s="196">
        <f t="shared" si="8"/>
        <v>0.2</v>
      </c>
      <c r="D90" s="80"/>
    </row>
    <row r="91" spans="1:4" s="1" customFormat="1" ht="14.25" customHeight="1" x14ac:dyDescent="0.3">
      <c r="A91" s="195" t="s">
        <v>63</v>
      </c>
      <c r="B91" s="123">
        <v>4</v>
      </c>
      <c r="C91" s="196">
        <f t="shared" si="8"/>
        <v>0.26666666666666666</v>
      </c>
      <c r="D91" s="80"/>
    </row>
    <row r="92" spans="1:4" s="1" customFormat="1" ht="14.5" thickBot="1" x14ac:dyDescent="0.35">
      <c r="A92" s="197" t="s">
        <v>49</v>
      </c>
      <c r="B92" s="198">
        <f>SUM(B87:B91)</f>
        <v>15</v>
      </c>
      <c r="C92" s="218">
        <f>SUM(C87:C91)</f>
        <v>1</v>
      </c>
      <c r="D92" s="17"/>
    </row>
    <row r="93" spans="1:4" s="1" customFormat="1" x14ac:dyDescent="0.3">
      <c r="A93" s="176"/>
      <c r="B93" s="177"/>
      <c r="C93" s="178"/>
      <c r="D93" s="170"/>
    </row>
    <row r="94" spans="1:4" s="1" customFormat="1" x14ac:dyDescent="0.3">
      <c r="A94" s="176"/>
      <c r="B94" s="177"/>
      <c r="C94" s="178"/>
      <c r="D94" s="170"/>
    </row>
    <row r="95" spans="1:4" s="1" customFormat="1" ht="14.5" thickBot="1" x14ac:dyDescent="0.35">
      <c r="A95" s="176"/>
      <c r="B95" s="177"/>
      <c r="C95" s="178"/>
      <c r="D95" s="170"/>
    </row>
    <row r="96" spans="1:4" s="1" customFormat="1" x14ac:dyDescent="0.3">
      <c r="A96" s="201" t="s">
        <v>64</v>
      </c>
      <c r="B96" s="202" t="s">
        <v>49</v>
      </c>
      <c r="C96" s="203" t="s">
        <v>50</v>
      </c>
      <c r="D96" s="2"/>
    </row>
    <row r="97" spans="1:4" s="1" customFormat="1" x14ac:dyDescent="0.3">
      <c r="A97" s="10" t="s">
        <v>51</v>
      </c>
      <c r="B97" s="123">
        <v>3</v>
      </c>
      <c r="C97" s="196">
        <f>B97/88</f>
        <v>3.4090909090909088E-2</v>
      </c>
      <c r="D97" s="2"/>
    </row>
    <row r="98" spans="1:4" s="1" customFormat="1" x14ac:dyDescent="0.3">
      <c r="A98" s="204" t="s">
        <v>52</v>
      </c>
      <c r="B98" s="123">
        <v>0</v>
      </c>
      <c r="C98" s="196">
        <f t="shared" ref="C98:C103" si="9">B98/88</f>
        <v>0</v>
      </c>
      <c r="D98" s="2"/>
    </row>
    <row r="99" spans="1:4" s="1" customFormat="1" x14ac:dyDescent="0.3">
      <c r="A99" s="204" t="s">
        <v>53</v>
      </c>
      <c r="B99" s="123">
        <v>0</v>
      </c>
      <c r="C99" s="196">
        <f t="shared" si="9"/>
        <v>0</v>
      </c>
      <c r="D99" s="2"/>
    </row>
    <row r="100" spans="1:4" s="1" customFormat="1" x14ac:dyDescent="0.3">
      <c r="A100" s="204" t="s">
        <v>54</v>
      </c>
      <c r="B100" s="123">
        <v>37</v>
      </c>
      <c r="C100" s="196">
        <f t="shared" si="9"/>
        <v>0.42045454545454547</v>
      </c>
      <c r="D100" s="2"/>
    </row>
    <row r="101" spans="1:4" s="1" customFormat="1" x14ac:dyDescent="0.3">
      <c r="A101" s="204" t="s">
        <v>55</v>
      </c>
      <c r="B101" s="123">
        <v>8</v>
      </c>
      <c r="C101" s="196">
        <f t="shared" si="9"/>
        <v>9.0909090909090912E-2</v>
      </c>
      <c r="D101" s="2"/>
    </row>
    <row r="102" spans="1:4" s="1" customFormat="1" x14ac:dyDescent="0.3">
      <c r="A102" s="204" t="s">
        <v>56</v>
      </c>
      <c r="B102" s="123">
        <v>5</v>
      </c>
      <c r="C102" s="196">
        <f t="shared" si="9"/>
        <v>5.6818181818181816E-2</v>
      </c>
      <c r="D102" s="2"/>
    </row>
    <row r="103" spans="1:4" s="1" customFormat="1" x14ac:dyDescent="0.3">
      <c r="A103" s="204" t="s">
        <v>57</v>
      </c>
      <c r="B103" s="123">
        <v>35</v>
      </c>
      <c r="C103" s="196">
        <f t="shared" si="9"/>
        <v>0.39772727272727271</v>
      </c>
      <c r="D103" s="2"/>
    </row>
    <row r="104" spans="1:4" s="1" customFormat="1" ht="14.5" thickBot="1" x14ac:dyDescent="0.35">
      <c r="A104" s="205" t="s">
        <v>49</v>
      </c>
      <c r="B104" s="206">
        <f>SUM(B97:B103)</f>
        <v>88</v>
      </c>
      <c r="C104" s="217">
        <f>SUM(C97:C103)</f>
        <v>1</v>
      </c>
      <c r="D104" s="2"/>
    </row>
    <row r="105" spans="1:4" s="1" customFormat="1" x14ac:dyDescent="0.3">
      <c r="A105" s="179"/>
      <c r="B105" s="179"/>
      <c r="C105" s="180"/>
      <c r="D105" s="181"/>
    </row>
    <row r="106" spans="1:4" s="1" customFormat="1" ht="14.5" thickBot="1" x14ac:dyDescent="0.35">
      <c r="A106" s="179"/>
      <c r="B106" s="179"/>
      <c r="C106" s="180"/>
      <c r="D106" s="181"/>
    </row>
    <row r="107" spans="1:4" s="1" customFormat="1" x14ac:dyDescent="0.3">
      <c r="A107" s="235" t="s">
        <v>65</v>
      </c>
      <c r="B107" s="236" t="s">
        <v>49</v>
      </c>
      <c r="C107" s="237" t="s">
        <v>50</v>
      </c>
      <c r="D107" s="2"/>
    </row>
    <row r="108" spans="1:4" s="1" customFormat="1" x14ac:dyDescent="0.3">
      <c r="A108" s="210" t="s">
        <v>59</v>
      </c>
      <c r="B108" s="123">
        <v>10</v>
      </c>
      <c r="C108" s="196">
        <f>B108/35</f>
        <v>0.2857142857142857</v>
      </c>
      <c r="D108" s="2"/>
    </row>
    <row r="109" spans="1:4" s="1" customFormat="1" x14ac:dyDescent="0.3">
      <c r="A109" s="212" t="s">
        <v>60</v>
      </c>
      <c r="B109" s="123">
        <v>5</v>
      </c>
      <c r="C109" s="196">
        <f t="shared" ref="C109:C112" si="10">B109/35</f>
        <v>0.14285714285714285</v>
      </c>
      <c r="D109" s="2"/>
    </row>
    <row r="110" spans="1:4" s="1" customFormat="1" x14ac:dyDescent="0.3">
      <c r="A110" s="212" t="s">
        <v>61</v>
      </c>
      <c r="B110" s="123">
        <v>6</v>
      </c>
      <c r="C110" s="196">
        <f t="shared" si="10"/>
        <v>0.17142857142857143</v>
      </c>
      <c r="D110" s="2"/>
    </row>
    <row r="111" spans="1:4" s="1" customFormat="1" x14ac:dyDescent="0.3">
      <c r="A111" s="212" t="s">
        <v>62</v>
      </c>
      <c r="B111" s="123">
        <v>12</v>
      </c>
      <c r="C111" s="196">
        <f t="shared" si="10"/>
        <v>0.34285714285714286</v>
      </c>
      <c r="D111" s="2"/>
    </row>
    <row r="112" spans="1:4" s="1" customFormat="1" x14ac:dyDescent="0.3">
      <c r="A112" s="212" t="s">
        <v>63</v>
      </c>
      <c r="B112" s="123">
        <v>2</v>
      </c>
      <c r="C112" s="196">
        <f t="shared" si="10"/>
        <v>5.7142857142857141E-2</v>
      </c>
      <c r="D112" s="2"/>
    </row>
    <row r="113" spans="1:8" s="1" customFormat="1" ht="14.5" thickBot="1" x14ac:dyDescent="0.35">
      <c r="A113" s="214" t="s">
        <v>49</v>
      </c>
      <c r="B113" s="206">
        <f>SUM(B108:B112)</f>
        <v>35</v>
      </c>
      <c r="C113" s="215">
        <f>SUM(C108:C112)</f>
        <v>1</v>
      </c>
      <c r="D113" s="2"/>
    </row>
    <row r="114" spans="1:8" s="1" customFormat="1" x14ac:dyDescent="0.3">
      <c r="A114" s="182"/>
      <c r="B114" s="179"/>
      <c r="C114" s="183"/>
      <c r="D114" s="181"/>
      <c r="E114" s="174"/>
    </row>
    <row r="115" spans="1:8" s="1" customFormat="1" x14ac:dyDescent="0.3">
      <c r="A115" s="248" t="s">
        <v>66</v>
      </c>
      <c r="B115" s="179"/>
      <c r="C115" s="183"/>
      <c r="D115" s="181"/>
      <c r="E115" s="174"/>
    </row>
    <row r="116" spans="1:8" s="1" customFormat="1" ht="14.5" thickBot="1" x14ac:dyDescent="0.35">
      <c r="A116" s="182"/>
      <c r="B116" s="179"/>
      <c r="C116" s="183"/>
      <c r="D116" s="181"/>
      <c r="E116" s="174"/>
    </row>
    <row r="117" spans="1:8" s="1" customFormat="1" ht="14.25" customHeight="1" x14ac:dyDescent="0.3">
      <c r="A117" s="49" t="s">
        <v>67</v>
      </c>
      <c r="B117" s="73" t="s">
        <v>68</v>
      </c>
      <c r="C117" s="79" t="s">
        <v>49</v>
      </c>
      <c r="D117" s="74" t="s">
        <v>50</v>
      </c>
      <c r="F117" s="163" t="s">
        <v>69</v>
      </c>
      <c r="G117" s="164" t="s">
        <v>70</v>
      </c>
      <c r="H117" s="165" t="s">
        <v>50</v>
      </c>
    </row>
    <row r="118" spans="1:8" x14ac:dyDescent="0.3">
      <c r="A118" s="25" t="s">
        <v>71</v>
      </c>
      <c r="B118" s="15" t="s">
        <v>72</v>
      </c>
      <c r="C118" s="15">
        <v>6</v>
      </c>
      <c r="D118" s="171">
        <f t="shared" ref="D118:D143" si="11">C118/133</f>
        <v>4.5112781954887216E-2</v>
      </c>
      <c r="F118" s="25" t="s">
        <v>72</v>
      </c>
      <c r="G118" s="15">
        <v>23</v>
      </c>
      <c r="H118" s="171">
        <f t="shared" ref="H118:H123" si="12">G118/133</f>
        <v>0.17293233082706766</v>
      </c>
    </row>
    <row r="119" spans="1:8" x14ac:dyDescent="0.3">
      <c r="A119" s="25" t="s">
        <v>73</v>
      </c>
      <c r="B119" s="15" t="s">
        <v>72</v>
      </c>
      <c r="C119" s="15">
        <v>1</v>
      </c>
      <c r="D119" s="171">
        <f t="shared" si="11"/>
        <v>7.5187969924812026E-3</v>
      </c>
      <c r="F119" s="25" t="s">
        <v>74</v>
      </c>
      <c r="G119" s="15">
        <v>3</v>
      </c>
      <c r="H119" s="171">
        <f t="shared" si="12"/>
        <v>2.2556390977443608E-2</v>
      </c>
    </row>
    <row r="120" spans="1:8" x14ac:dyDescent="0.3">
      <c r="A120" s="25" t="s">
        <v>75</v>
      </c>
      <c r="B120" s="15" t="s">
        <v>72</v>
      </c>
      <c r="C120" s="15">
        <v>15</v>
      </c>
      <c r="D120" s="171">
        <f t="shared" si="11"/>
        <v>0.11278195488721804</v>
      </c>
      <c r="F120" s="25" t="s">
        <v>76</v>
      </c>
      <c r="G120" s="15">
        <v>38</v>
      </c>
      <c r="H120" s="171">
        <f t="shared" si="12"/>
        <v>0.2857142857142857</v>
      </c>
    </row>
    <row r="121" spans="1:8" x14ac:dyDescent="0.3">
      <c r="A121" s="25" t="s">
        <v>77</v>
      </c>
      <c r="B121" s="15" t="s">
        <v>72</v>
      </c>
      <c r="C121" s="15">
        <v>1</v>
      </c>
      <c r="D121" s="171">
        <f t="shared" si="11"/>
        <v>7.5187969924812026E-3</v>
      </c>
      <c r="F121" s="25" t="s">
        <v>78</v>
      </c>
      <c r="G121" s="15">
        <v>14</v>
      </c>
      <c r="H121" s="171">
        <f t="shared" si="12"/>
        <v>0.10526315789473684</v>
      </c>
    </row>
    <row r="122" spans="1:8" x14ac:dyDescent="0.3">
      <c r="A122" s="25" t="s">
        <v>74</v>
      </c>
      <c r="B122" s="15" t="s">
        <v>74</v>
      </c>
      <c r="C122" s="15">
        <v>3</v>
      </c>
      <c r="D122" s="171">
        <f t="shared" si="11"/>
        <v>2.2556390977443608E-2</v>
      </c>
      <c r="F122" s="25" t="s">
        <v>79</v>
      </c>
      <c r="G122" s="15">
        <v>27</v>
      </c>
      <c r="H122" s="171">
        <f t="shared" si="12"/>
        <v>0.20300751879699247</v>
      </c>
    </row>
    <row r="123" spans="1:8" ht="14.5" thickBot="1" x14ac:dyDescent="0.35">
      <c r="A123" s="25" t="s">
        <v>115</v>
      </c>
      <c r="B123" s="15" t="s">
        <v>76</v>
      </c>
      <c r="C123" s="15">
        <v>7</v>
      </c>
      <c r="D123" s="171">
        <f t="shared" si="11"/>
        <v>5.2631578947368418E-2</v>
      </c>
      <c r="F123" s="34" t="s">
        <v>81</v>
      </c>
      <c r="G123" s="24">
        <v>28</v>
      </c>
      <c r="H123" s="228">
        <f t="shared" si="12"/>
        <v>0.21052631578947367</v>
      </c>
    </row>
    <row r="124" spans="1:8" x14ac:dyDescent="0.3">
      <c r="A124" s="25" t="s">
        <v>85</v>
      </c>
      <c r="B124" s="15" t="s">
        <v>76</v>
      </c>
      <c r="C124" s="15">
        <v>3</v>
      </c>
      <c r="D124" s="171">
        <f t="shared" si="11"/>
        <v>2.2556390977443608E-2</v>
      </c>
    </row>
    <row r="125" spans="1:8" x14ac:dyDescent="0.3">
      <c r="A125" s="25" t="s">
        <v>86</v>
      </c>
      <c r="B125" s="15" t="s">
        <v>76</v>
      </c>
      <c r="C125" s="15">
        <v>1</v>
      </c>
      <c r="D125" s="171">
        <f t="shared" si="11"/>
        <v>7.5187969924812026E-3</v>
      </c>
    </row>
    <row r="126" spans="1:8" x14ac:dyDescent="0.3">
      <c r="A126" s="25" t="s">
        <v>87</v>
      </c>
      <c r="B126" s="15" t="s">
        <v>76</v>
      </c>
      <c r="C126" s="15">
        <v>9</v>
      </c>
      <c r="D126" s="171">
        <f t="shared" si="11"/>
        <v>6.7669172932330823E-2</v>
      </c>
    </row>
    <row r="127" spans="1:8" x14ac:dyDescent="0.3">
      <c r="A127" s="25" t="s">
        <v>89</v>
      </c>
      <c r="B127" s="15" t="s">
        <v>76</v>
      </c>
      <c r="C127" s="15">
        <v>1</v>
      </c>
      <c r="D127" s="171">
        <f t="shared" si="11"/>
        <v>7.5187969924812026E-3</v>
      </c>
    </row>
    <row r="128" spans="1:8" x14ac:dyDescent="0.3">
      <c r="A128" s="25" t="s">
        <v>90</v>
      </c>
      <c r="B128" s="15" t="s">
        <v>76</v>
      </c>
      <c r="C128" s="15">
        <v>12</v>
      </c>
      <c r="D128" s="171">
        <f t="shared" si="11"/>
        <v>9.0225563909774431E-2</v>
      </c>
    </row>
    <row r="129" spans="1:4" x14ac:dyDescent="0.3">
      <c r="A129" s="25" t="s">
        <v>92</v>
      </c>
      <c r="B129" s="15" t="s">
        <v>76</v>
      </c>
      <c r="C129" s="15">
        <v>1</v>
      </c>
      <c r="D129" s="171">
        <f t="shared" si="11"/>
        <v>7.5187969924812026E-3</v>
      </c>
    </row>
    <row r="130" spans="1:4" x14ac:dyDescent="0.3">
      <c r="A130" s="25" t="s">
        <v>93</v>
      </c>
      <c r="B130" s="15" t="s">
        <v>76</v>
      </c>
      <c r="C130" s="15">
        <v>4</v>
      </c>
      <c r="D130" s="171">
        <f t="shared" si="11"/>
        <v>3.007518796992481E-2</v>
      </c>
    </row>
    <row r="131" spans="1:4" x14ac:dyDescent="0.3">
      <c r="A131" s="25" t="s">
        <v>95</v>
      </c>
      <c r="B131" s="15" t="s">
        <v>78</v>
      </c>
      <c r="C131" s="15">
        <v>3</v>
      </c>
      <c r="D131" s="171">
        <f t="shared" si="11"/>
        <v>2.2556390977443608E-2</v>
      </c>
    </row>
    <row r="132" spans="1:4" x14ac:dyDescent="0.3">
      <c r="A132" s="25" t="s">
        <v>96</v>
      </c>
      <c r="B132" s="15" t="s">
        <v>78</v>
      </c>
      <c r="C132" s="15">
        <v>11</v>
      </c>
      <c r="D132" s="171">
        <f t="shared" si="11"/>
        <v>8.2706766917293228E-2</v>
      </c>
    </row>
    <row r="133" spans="1:4" x14ac:dyDescent="0.3">
      <c r="A133" s="25" t="s">
        <v>97</v>
      </c>
      <c r="B133" s="15" t="s">
        <v>79</v>
      </c>
      <c r="C133" s="15">
        <v>8</v>
      </c>
      <c r="D133" s="171">
        <f t="shared" si="11"/>
        <v>6.0150375939849621E-2</v>
      </c>
    </row>
    <row r="134" spans="1:4" x14ac:dyDescent="0.3">
      <c r="A134" s="25" t="s">
        <v>98</v>
      </c>
      <c r="B134" s="15" t="s">
        <v>79</v>
      </c>
      <c r="C134" s="15">
        <v>1</v>
      </c>
      <c r="D134" s="171">
        <f t="shared" si="11"/>
        <v>7.5187969924812026E-3</v>
      </c>
    </row>
    <row r="135" spans="1:4" x14ac:dyDescent="0.3">
      <c r="A135" s="25" t="s">
        <v>99</v>
      </c>
      <c r="B135" s="15" t="s">
        <v>79</v>
      </c>
      <c r="C135" s="15">
        <v>2</v>
      </c>
      <c r="D135" s="171">
        <f t="shared" si="11"/>
        <v>1.5037593984962405E-2</v>
      </c>
    </row>
    <row r="136" spans="1:4" x14ac:dyDescent="0.3">
      <c r="A136" s="25" t="s">
        <v>100</v>
      </c>
      <c r="B136" s="15" t="s">
        <v>79</v>
      </c>
      <c r="C136" s="15">
        <v>6</v>
      </c>
      <c r="D136" s="171">
        <f t="shared" si="11"/>
        <v>4.5112781954887216E-2</v>
      </c>
    </row>
    <row r="137" spans="1:4" x14ac:dyDescent="0.3">
      <c r="A137" s="25" t="s">
        <v>101</v>
      </c>
      <c r="B137" s="15" t="s">
        <v>79</v>
      </c>
      <c r="C137" s="15">
        <v>3</v>
      </c>
      <c r="D137" s="171">
        <f t="shared" si="11"/>
        <v>2.2556390977443608E-2</v>
      </c>
    </row>
    <row r="138" spans="1:4" x14ac:dyDescent="0.3">
      <c r="A138" s="25" t="s">
        <v>102</v>
      </c>
      <c r="B138" s="15" t="s">
        <v>79</v>
      </c>
      <c r="C138" s="15">
        <v>3</v>
      </c>
      <c r="D138" s="171">
        <f t="shared" si="11"/>
        <v>2.2556390977443608E-2</v>
      </c>
    </row>
    <row r="139" spans="1:4" x14ac:dyDescent="0.3">
      <c r="A139" s="25" t="s">
        <v>103</v>
      </c>
      <c r="B139" s="15" t="s">
        <v>79</v>
      </c>
      <c r="C139" s="15">
        <v>4</v>
      </c>
      <c r="D139" s="171">
        <f t="shared" si="11"/>
        <v>3.007518796992481E-2</v>
      </c>
    </row>
    <row r="140" spans="1:4" x14ac:dyDescent="0.3">
      <c r="A140" s="25" t="s">
        <v>138</v>
      </c>
      <c r="B140" s="15" t="s">
        <v>81</v>
      </c>
      <c r="C140" s="15">
        <v>3</v>
      </c>
      <c r="D140" s="171">
        <f t="shared" si="11"/>
        <v>2.2556390977443608E-2</v>
      </c>
    </row>
    <row r="141" spans="1:4" x14ac:dyDescent="0.3">
      <c r="A141" s="25" t="s">
        <v>106</v>
      </c>
      <c r="B141" s="15" t="s">
        <v>81</v>
      </c>
      <c r="C141" s="15">
        <v>1</v>
      </c>
      <c r="D141" s="171">
        <f t="shared" si="11"/>
        <v>7.5187969924812026E-3</v>
      </c>
    </row>
    <row r="142" spans="1:4" x14ac:dyDescent="0.3">
      <c r="A142" s="25" t="s">
        <v>107</v>
      </c>
      <c r="B142" s="15" t="s">
        <v>81</v>
      </c>
      <c r="C142" s="15">
        <v>22</v>
      </c>
      <c r="D142" s="171">
        <f t="shared" si="11"/>
        <v>0.16541353383458646</v>
      </c>
    </row>
    <row r="143" spans="1:4" ht="14.5" thickBot="1" x14ac:dyDescent="0.35">
      <c r="A143" s="34" t="s">
        <v>108</v>
      </c>
      <c r="B143" s="24" t="s">
        <v>81</v>
      </c>
      <c r="C143" s="24">
        <v>2</v>
      </c>
      <c r="D143" s="228">
        <f t="shared" si="11"/>
        <v>1.5037593984962405E-2</v>
      </c>
    </row>
    <row r="144" spans="1:4" x14ac:dyDescent="0.3">
      <c r="A144" s="37"/>
      <c r="B144" s="37"/>
      <c r="C144" s="37"/>
      <c r="D144" s="229"/>
    </row>
    <row r="145" spans="1:8" x14ac:dyDescent="0.3">
      <c r="C145" s="17"/>
    </row>
    <row r="146" spans="1:8" ht="14.5" thickBot="1" x14ac:dyDescent="0.35">
      <c r="C146" s="17"/>
    </row>
    <row r="147" spans="1:8" s="1" customFormat="1" x14ac:dyDescent="0.3">
      <c r="A147" s="8" t="s">
        <v>112</v>
      </c>
      <c r="B147" s="73" t="s">
        <v>68</v>
      </c>
      <c r="C147" s="9" t="s">
        <v>49</v>
      </c>
      <c r="D147" s="58" t="s">
        <v>50</v>
      </c>
      <c r="E147" s="88"/>
      <c r="F147" s="163" t="s">
        <v>113</v>
      </c>
      <c r="G147" s="9" t="s">
        <v>114</v>
      </c>
      <c r="H147" s="58" t="s">
        <v>50</v>
      </c>
    </row>
    <row r="148" spans="1:8" x14ac:dyDescent="0.3">
      <c r="A148" s="25" t="s">
        <v>71</v>
      </c>
      <c r="B148" s="15" t="s">
        <v>72</v>
      </c>
      <c r="C148" s="15">
        <v>9</v>
      </c>
      <c r="D148" s="171">
        <f>C148/39</f>
        <v>0.23076923076923078</v>
      </c>
      <c r="F148" s="25" t="s">
        <v>72</v>
      </c>
      <c r="G148" s="15">
        <v>11</v>
      </c>
      <c r="H148" s="171">
        <f t="shared" ref="H148:H152" si="13">G148/39</f>
        <v>0.28205128205128205</v>
      </c>
    </row>
    <row r="149" spans="1:8" x14ac:dyDescent="0.3">
      <c r="A149" s="25" t="s">
        <v>75</v>
      </c>
      <c r="B149" s="15" t="s">
        <v>72</v>
      </c>
      <c r="C149" s="15">
        <v>1</v>
      </c>
      <c r="D149" s="171">
        <f t="shared" ref="D149:D161" si="14">C149/39</f>
        <v>2.564102564102564E-2</v>
      </c>
      <c r="F149" s="25" t="s">
        <v>76</v>
      </c>
      <c r="G149" s="15">
        <v>8</v>
      </c>
      <c r="H149" s="171">
        <f t="shared" si="13"/>
        <v>0.20512820512820512</v>
      </c>
    </row>
    <row r="150" spans="1:8" x14ac:dyDescent="0.3">
      <c r="A150" s="25" t="s">
        <v>77</v>
      </c>
      <c r="B150" s="15" t="s">
        <v>72</v>
      </c>
      <c r="C150" s="15">
        <v>1</v>
      </c>
      <c r="D150" s="171">
        <f t="shared" si="14"/>
        <v>2.564102564102564E-2</v>
      </c>
      <c r="F150" s="25" t="s">
        <v>78</v>
      </c>
      <c r="G150" s="15">
        <v>8</v>
      </c>
      <c r="H150" s="171">
        <f t="shared" si="13"/>
        <v>0.20512820512820512</v>
      </c>
    </row>
    <row r="151" spans="1:8" x14ac:dyDescent="0.3">
      <c r="A151" s="25" t="s">
        <v>115</v>
      </c>
      <c r="B151" s="15" t="s">
        <v>76</v>
      </c>
      <c r="C151" s="15">
        <v>1</v>
      </c>
      <c r="D151" s="171">
        <f t="shared" si="14"/>
        <v>2.564102564102564E-2</v>
      </c>
      <c r="F151" s="25" t="s">
        <v>79</v>
      </c>
      <c r="G151" s="15">
        <v>4</v>
      </c>
      <c r="H151" s="171">
        <f t="shared" si="13"/>
        <v>0.10256410256410256</v>
      </c>
    </row>
    <row r="152" spans="1:8" ht="14.5" thickBot="1" x14ac:dyDescent="0.35">
      <c r="A152" s="25" t="s">
        <v>85</v>
      </c>
      <c r="B152" s="15" t="s">
        <v>76</v>
      </c>
      <c r="C152" s="15">
        <v>1</v>
      </c>
      <c r="D152" s="171">
        <f t="shared" si="14"/>
        <v>2.564102564102564E-2</v>
      </c>
      <c r="F152" s="34" t="s">
        <v>81</v>
      </c>
      <c r="G152" s="24">
        <v>8</v>
      </c>
      <c r="H152" s="228">
        <f t="shared" si="13"/>
        <v>0.20512820512820512</v>
      </c>
    </row>
    <row r="153" spans="1:8" x14ac:dyDescent="0.3">
      <c r="A153" s="25" t="s">
        <v>90</v>
      </c>
      <c r="B153" s="15" t="s">
        <v>76</v>
      </c>
      <c r="C153" s="15">
        <v>5</v>
      </c>
      <c r="D153" s="171">
        <f t="shared" si="14"/>
        <v>0.12820512820512819</v>
      </c>
      <c r="F153" s="111"/>
      <c r="G153" s="37"/>
      <c r="H153" s="80"/>
    </row>
    <row r="154" spans="1:8" x14ac:dyDescent="0.3">
      <c r="A154" s="25" t="s">
        <v>92</v>
      </c>
      <c r="B154" s="15" t="s">
        <v>76</v>
      </c>
      <c r="C154" s="15">
        <v>1</v>
      </c>
      <c r="D154" s="171">
        <f t="shared" si="14"/>
        <v>2.564102564102564E-2</v>
      </c>
    </row>
    <row r="155" spans="1:8" x14ac:dyDescent="0.3">
      <c r="A155" s="25" t="s">
        <v>95</v>
      </c>
      <c r="B155" s="15" t="s">
        <v>78</v>
      </c>
      <c r="C155" s="15">
        <v>1</v>
      </c>
      <c r="D155" s="171">
        <f t="shared" si="14"/>
        <v>2.564102564102564E-2</v>
      </c>
    </row>
    <row r="156" spans="1:8" x14ac:dyDescent="0.3">
      <c r="A156" s="25" t="s">
        <v>96</v>
      </c>
      <c r="B156" s="15" t="s">
        <v>78</v>
      </c>
      <c r="C156" s="15">
        <v>7</v>
      </c>
      <c r="D156" s="171">
        <f t="shared" si="14"/>
        <v>0.17948717948717949</v>
      </c>
    </row>
    <row r="157" spans="1:8" x14ac:dyDescent="0.3">
      <c r="A157" s="25" t="s">
        <v>97</v>
      </c>
      <c r="B157" s="15" t="s">
        <v>79</v>
      </c>
      <c r="C157" s="15">
        <v>3</v>
      </c>
      <c r="D157" s="171">
        <f t="shared" si="14"/>
        <v>7.6923076923076927E-2</v>
      </c>
    </row>
    <row r="158" spans="1:8" x14ac:dyDescent="0.3">
      <c r="A158" s="25" t="s">
        <v>99</v>
      </c>
      <c r="B158" s="15" t="s">
        <v>79</v>
      </c>
      <c r="C158" s="15">
        <v>1</v>
      </c>
      <c r="D158" s="171">
        <f t="shared" si="14"/>
        <v>2.564102564102564E-2</v>
      </c>
    </row>
    <row r="159" spans="1:8" x14ac:dyDescent="0.3">
      <c r="A159" s="25" t="s">
        <v>138</v>
      </c>
      <c r="B159" s="15" t="s">
        <v>81</v>
      </c>
      <c r="C159" s="15">
        <v>0</v>
      </c>
      <c r="D159" s="171">
        <f t="shared" si="14"/>
        <v>0</v>
      </c>
    </row>
    <row r="160" spans="1:8" x14ac:dyDescent="0.3">
      <c r="A160" s="25" t="s">
        <v>107</v>
      </c>
      <c r="B160" s="15" t="s">
        <v>81</v>
      </c>
      <c r="C160" s="15">
        <v>5</v>
      </c>
      <c r="D160" s="171">
        <f t="shared" si="14"/>
        <v>0.12820512820512819</v>
      </c>
    </row>
    <row r="161" spans="1:8" x14ac:dyDescent="0.3">
      <c r="A161" s="25" t="s">
        <v>108</v>
      </c>
      <c r="B161" s="15" t="s">
        <v>81</v>
      </c>
      <c r="C161" s="15">
        <v>3</v>
      </c>
      <c r="D161" s="171">
        <f t="shared" si="14"/>
        <v>7.6923076923076927E-2</v>
      </c>
    </row>
    <row r="162" spans="1:8" ht="14.5" thickBot="1" x14ac:dyDescent="0.35">
      <c r="A162" s="34" t="s">
        <v>109</v>
      </c>
      <c r="B162" s="24" t="s">
        <v>110</v>
      </c>
      <c r="C162" s="24">
        <v>12</v>
      </c>
      <c r="D162" s="169" t="s">
        <v>111</v>
      </c>
    </row>
    <row r="163" spans="1:8" x14ac:dyDescent="0.3">
      <c r="C163" s="17"/>
    </row>
    <row r="164" spans="1:8" x14ac:dyDescent="0.3">
      <c r="C164" s="17"/>
    </row>
    <row r="165" spans="1:8" x14ac:dyDescent="0.3">
      <c r="C165" s="17"/>
    </row>
    <row r="166" spans="1:8" x14ac:dyDescent="0.3">
      <c r="C166" s="17"/>
    </row>
    <row r="167" spans="1:8" x14ac:dyDescent="0.3">
      <c r="C167" s="17"/>
    </row>
    <row r="168" spans="1:8" x14ac:dyDescent="0.3">
      <c r="C168" s="17"/>
    </row>
    <row r="169" spans="1:8" x14ac:dyDescent="0.3">
      <c r="C169" s="17"/>
    </row>
    <row r="170" spans="1:8" x14ac:dyDescent="0.3">
      <c r="C170" s="17"/>
    </row>
    <row r="171" spans="1:8" x14ac:dyDescent="0.3">
      <c r="C171" s="17"/>
    </row>
    <row r="172" spans="1:8" x14ac:dyDescent="0.3">
      <c r="C172" s="17"/>
    </row>
    <row r="173" spans="1:8" x14ac:dyDescent="0.3">
      <c r="C173" s="17"/>
    </row>
    <row r="174" spans="1:8" x14ac:dyDescent="0.3">
      <c r="C174" s="17"/>
    </row>
    <row r="175" spans="1:8" ht="14.5" thickBot="1" x14ac:dyDescent="0.35">
      <c r="C175" s="17"/>
      <c r="D175" s="14"/>
      <c r="F175" s="14"/>
    </row>
    <row r="176" spans="1:8" s="1" customFormat="1" x14ac:dyDescent="0.3">
      <c r="A176" s="8" t="s">
        <v>119</v>
      </c>
      <c r="B176" s="73" t="s">
        <v>68</v>
      </c>
      <c r="C176" s="9" t="s">
        <v>49</v>
      </c>
      <c r="D176" s="57" t="s">
        <v>50</v>
      </c>
      <c r="F176" s="163" t="s">
        <v>120</v>
      </c>
      <c r="G176" s="9" t="s">
        <v>114</v>
      </c>
      <c r="H176" s="58" t="s">
        <v>50</v>
      </c>
    </row>
    <row r="177" spans="1:8" x14ac:dyDescent="0.3">
      <c r="A177" s="25" t="s">
        <v>85</v>
      </c>
      <c r="B177" s="15" t="s">
        <v>76</v>
      </c>
      <c r="C177" s="15">
        <v>1</v>
      </c>
      <c r="D177" s="171">
        <f>C177/5</f>
        <v>0.2</v>
      </c>
      <c r="F177" s="25" t="s">
        <v>72</v>
      </c>
      <c r="G177" s="15">
        <v>2</v>
      </c>
      <c r="H177" s="171">
        <f t="shared" ref="H177:H178" si="15">G177/5</f>
        <v>0.4</v>
      </c>
    </row>
    <row r="178" spans="1:8" ht="14.5" thickBot="1" x14ac:dyDescent="0.35">
      <c r="A178" s="25" t="s">
        <v>86</v>
      </c>
      <c r="B178" s="15" t="s">
        <v>76</v>
      </c>
      <c r="C178" s="15">
        <v>1</v>
      </c>
      <c r="D178" s="171">
        <f t="shared" ref="D178:D180" si="16">C178/5</f>
        <v>0.2</v>
      </c>
      <c r="F178" s="34" t="s">
        <v>76</v>
      </c>
      <c r="G178" s="24">
        <v>3</v>
      </c>
      <c r="H178" s="228">
        <f t="shared" si="15"/>
        <v>0.6</v>
      </c>
    </row>
    <row r="179" spans="1:8" x14ac:dyDescent="0.3">
      <c r="A179" s="25" t="s">
        <v>87</v>
      </c>
      <c r="B179" s="15" t="s">
        <v>76</v>
      </c>
      <c r="C179" s="15">
        <v>1</v>
      </c>
      <c r="D179" s="171">
        <f t="shared" si="16"/>
        <v>0.2</v>
      </c>
      <c r="F179" s="111"/>
      <c r="H179" s="80"/>
    </row>
    <row r="180" spans="1:8" ht="14.5" thickBot="1" x14ac:dyDescent="0.35">
      <c r="A180" s="34" t="s">
        <v>71</v>
      </c>
      <c r="B180" s="24" t="s">
        <v>72</v>
      </c>
      <c r="C180" s="24">
        <v>2</v>
      </c>
      <c r="D180" s="228">
        <f t="shared" si="16"/>
        <v>0.4</v>
      </c>
    </row>
    <row r="181" spans="1:8" x14ac:dyDescent="0.3">
      <c r="A181" s="37"/>
      <c r="B181" s="37"/>
      <c r="C181" s="37"/>
      <c r="D181" s="229"/>
    </row>
    <row r="182" spans="1:8" x14ac:dyDescent="0.3">
      <c r="A182" s="37"/>
      <c r="B182" s="37"/>
      <c r="C182" s="37"/>
      <c r="D182" s="229"/>
    </row>
    <row r="183" spans="1:8" x14ac:dyDescent="0.3">
      <c r="A183" s="37"/>
      <c r="B183" s="37"/>
      <c r="C183" s="37"/>
      <c r="D183" s="229"/>
    </row>
    <row r="184" spans="1:8" x14ac:dyDescent="0.3">
      <c r="A184" s="37"/>
      <c r="B184" s="37"/>
      <c r="C184" s="37"/>
      <c r="D184" s="229"/>
    </row>
    <row r="185" spans="1:8" x14ac:dyDescent="0.3">
      <c r="A185" s="37"/>
      <c r="B185" s="37"/>
      <c r="C185" s="37"/>
      <c r="D185" s="229"/>
    </row>
    <row r="186" spans="1:8" x14ac:dyDescent="0.3">
      <c r="A186" s="37"/>
      <c r="B186" s="37"/>
      <c r="C186" s="37"/>
      <c r="D186" s="229"/>
    </row>
    <row r="187" spans="1:8" x14ac:dyDescent="0.3">
      <c r="A187" s="37"/>
      <c r="B187" s="37"/>
      <c r="C187" s="37"/>
      <c r="D187" s="229"/>
    </row>
    <row r="188" spans="1:8" x14ac:dyDescent="0.3">
      <c r="A188" s="37"/>
      <c r="B188" s="37"/>
      <c r="C188" s="37"/>
      <c r="D188" s="229"/>
    </row>
    <row r="189" spans="1:8" x14ac:dyDescent="0.3">
      <c r="A189" s="37"/>
      <c r="B189" s="37"/>
      <c r="C189" s="37"/>
      <c r="D189" s="229"/>
    </row>
    <row r="190" spans="1:8" x14ac:dyDescent="0.3">
      <c r="A190" s="45"/>
      <c r="B190" s="45"/>
      <c r="C190" s="45"/>
      <c r="D190" s="45"/>
    </row>
    <row r="191" spans="1:8" x14ac:dyDescent="0.3">
      <c r="A191" s="45"/>
      <c r="B191" s="45"/>
      <c r="C191" s="45"/>
      <c r="D191" s="45"/>
      <c r="F191" s="45"/>
      <c r="G191" s="45"/>
      <c r="H191" s="45"/>
    </row>
    <row r="192" spans="1:8" x14ac:dyDescent="0.3">
      <c r="A192" s="45"/>
      <c r="B192" s="45"/>
      <c r="C192" s="45"/>
      <c r="D192" s="45"/>
      <c r="F192" s="45"/>
      <c r="G192" s="45"/>
      <c r="H192" s="45"/>
    </row>
    <row r="193" spans="1:9" x14ac:dyDescent="0.3">
      <c r="A193" s="45"/>
      <c r="B193" s="45"/>
      <c r="C193" s="45"/>
      <c r="D193" s="45"/>
      <c r="F193" s="45"/>
      <c r="G193" s="45"/>
      <c r="H193" s="45"/>
    </row>
    <row r="194" spans="1:9" x14ac:dyDescent="0.3">
      <c r="A194" s="45"/>
      <c r="B194" s="45"/>
      <c r="C194" s="45"/>
      <c r="D194" s="45"/>
      <c r="F194" s="45"/>
      <c r="G194" s="45"/>
      <c r="H194" s="45"/>
    </row>
    <row r="195" spans="1:9" x14ac:dyDescent="0.3">
      <c r="A195" s="45"/>
      <c r="B195" s="45"/>
      <c r="C195" s="45"/>
      <c r="D195" s="45"/>
      <c r="F195" s="45"/>
      <c r="G195" s="45"/>
      <c r="H195" s="45"/>
    </row>
    <row r="196" spans="1:9" x14ac:dyDescent="0.3">
      <c r="A196" s="45"/>
      <c r="B196" s="45"/>
      <c r="C196" s="45"/>
      <c r="D196" s="45"/>
      <c r="F196" s="45"/>
      <c r="G196" s="45"/>
      <c r="H196" s="45"/>
    </row>
    <row r="197" spans="1:9" x14ac:dyDescent="0.3">
      <c r="A197" s="45"/>
      <c r="B197" s="45"/>
      <c r="C197" s="45"/>
      <c r="D197" s="45"/>
      <c r="F197" s="45"/>
      <c r="G197" s="45"/>
      <c r="H197" s="45"/>
    </row>
    <row r="198" spans="1:9" x14ac:dyDescent="0.3">
      <c r="A198" s="45"/>
      <c r="B198" s="45"/>
      <c r="C198" s="45"/>
      <c r="D198" s="45"/>
      <c r="F198" s="45"/>
      <c r="G198" s="45"/>
      <c r="H198" s="45"/>
    </row>
    <row r="199" spans="1:9" x14ac:dyDescent="0.3">
      <c r="A199" s="45"/>
      <c r="B199" s="45"/>
      <c r="C199" s="45"/>
      <c r="D199" s="45"/>
      <c r="F199" s="45"/>
      <c r="G199" s="45"/>
      <c r="H199" s="45"/>
    </row>
    <row r="200" spans="1:9" ht="14.5" thickBot="1" x14ac:dyDescent="0.35">
      <c r="A200" s="45"/>
      <c r="B200" s="45"/>
      <c r="C200" s="45"/>
      <c r="D200" s="45"/>
      <c r="F200" s="75"/>
      <c r="G200" s="45"/>
      <c r="H200" s="45"/>
    </row>
    <row r="201" spans="1:9" s="1" customFormat="1" ht="11.65" customHeight="1" x14ac:dyDescent="0.3">
      <c r="A201" s="8" t="s">
        <v>126</v>
      </c>
      <c r="B201" s="9" t="s">
        <v>68</v>
      </c>
      <c r="C201" s="9" t="s">
        <v>49</v>
      </c>
      <c r="D201" s="58" t="s">
        <v>50</v>
      </c>
      <c r="F201" s="163" t="s">
        <v>127</v>
      </c>
      <c r="G201" s="9" t="s">
        <v>114</v>
      </c>
      <c r="H201" s="58" t="s">
        <v>50</v>
      </c>
    </row>
    <row r="202" spans="1:9" s="45" customFormat="1" x14ac:dyDescent="0.3">
      <c r="A202" s="25" t="s">
        <v>71</v>
      </c>
      <c r="B202" s="15" t="s">
        <v>72</v>
      </c>
      <c r="C202" s="15">
        <v>11</v>
      </c>
      <c r="D202" s="171">
        <f>C202/179</f>
        <v>6.1452513966480445E-2</v>
      </c>
      <c r="F202" s="25" t="s">
        <v>72</v>
      </c>
      <c r="G202" s="15">
        <v>43</v>
      </c>
      <c r="H202" s="171">
        <f t="shared" ref="H202:H207" si="17">G202/179</f>
        <v>0.24022346368715083</v>
      </c>
      <c r="I202" s="13"/>
    </row>
    <row r="203" spans="1:9" s="45" customFormat="1" x14ac:dyDescent="0.3">
      <c r="A203" s="25" t="s">
        <v>73</v>
      </c>
      <c r="B203" s="15" t="s">
        <v>72</v>
      </c>
      <c r="C203" s="15">
        <v>2</v>
      </c>
      <c r="D203" s="171">
        <f t="shared" ref="D203:D227" si="18">C203/179</f>
        <v>1.11731843575419E-2</v>
      </c>
      <c r="F203" s="25" t="s">
        <v>74</v>
      </c>
      <c r="G203" s="15">
        <v>3</v>
      </c>
      <c r="H203" s="171">
        <f t="shared" si="17"/>
        <v>1.6759776536312849E-2</v>
      </c>
    </row>
    <row r="204" spans="1:9" s="45" customFormat="1" x14ac:dyDescent="0.3">
      <c r="A204" s="25" t="s">
        <v>75</v>
      </c>
      <c r="B204" s="15" t="s">
        <v>72</v>
      </c>
      <c r="C204" s="15">
        <v>29</v>
      </c>
      <c r="D204" s="171">
        <f t="shared" si="18"/>
        <v>0.16201117318435754</v>
      </c>
      <c r="F204" s="25" t="s">
        <v>76</v>
      </c>
      <c r="G204" s="15">
        <v>51</v>
      </c>
      <c r="H204" s="171">
        <v>0.28999999999999998</v>
      </c>
    </row>
    <row r="205" spans="1:9" x14ac:dyDescent="0.3">
      <c r="A205" s="25" t="s">
        <v>77</v>
      </c>
      <c r="B205" s="15" t="s">
        <v>72</v>
      </c>
      <c r="C205" s="15">
        <v>1</v>
      </c>
      <c r="D205" s="171">
        <f t="shared" si="18"/>
        <v>5.5865921787709499E-3</v>
      </c>
      <c r="E205" s="44"/>
      <c r="F205" s="25" t="s">
        <v>78</v>
      </c>
      <c r="G205" s="15">
        <v>24</v>
      </c>
      <c r="H205" s="171">
        <f t="shared" si="17"/>
        <v>0.13407821229050279</v>
      </c>
    </row>
    <row r="206" spans="1:9" x14ac:dyDescent="0.3">
      <c r="A206" s="25" t="s">
        <v>74</v>
      </c>
      <c r="B206" s="15" t="s">
        <v>74</v>
      </c>
      <c r="C206" s="15">
        <v>3</v>
      </c>
      <c r="D206" s="171">
        <f t="shared" si="18"/>
        <v>1.6759776536312849E-2</v>
      </c>
      <c r="F206" s="25" t="s">
        <v>79</v>
      </c>
      <c r="G206" s="15">
        <v>49</v>
      </c>
      <c r="H206" s="171">
        <f t="shared" si="17"/>
        <v>0.27374301675977653</v>
      </c>
    </row>
    <row r="207" spans="1:9" ht="14.5" thickBot="1" x14ac:dyDescent="0.35">
      <c r="A207" s="25" t="s">
        <v>115</v>
      </c>
      <c r="B207" s="15" t="s">
        <v>76</v>
      </c>
      <c r="C207" s="15">
        <v>10</v>
      </c>
      <c r="D207" s="171">
        <f t="shared" si="18"/>
        <v>5.5865921787709494E-2</v>
      </c>
      <c r="F207" s="34" t="s">
        <v>81</v>
      </c>
      <c r="G207" s="24">
        <v>9</v>
      </c>
      <c r="H207" s="228">
        <f t="shared" si="17"/>
        <v>5.027932960893855E-2</v>
      </c>
    </row>
    <row r="208" spans="1:9" x14ac:dyDescent="0.3">
      <c r="A208" s="25" t="s">
        <v>85</v>
      </c>
      <c r="B208" s="15" t="s">
        <v>76</v>
      </c>
      <c r="C208" s="15">
        <v>2</v>
      </c>
      <c r="D208" s="171">
        <f t="shared" si="18"/>
        <v>1.11731843575419E-2</v>
      </c>
    </row>
    <row r="209" spans="1:4" x14ac:dyDescent="0.3">
      <c r="A209" s="25" t="s">
        <v>86</v>
      </c>
      <c r="B209" s="15" t="s">
        <v>76</v>
      </c>
      <c r="C209" s="15">
        <v>1</v>
      </c>
      <c r="D209" s="171">
        <f t="shared" si="18"/>
        <v>5.5865921787709499E-3</v>
      </c>
    </row>
    <row r="210" spans="1:4" x14ac:dyDescent="0.3">
      <c r="A210" s="25" t="s">
        <v>87</v>
      </c>
      <c r="B210" s="15" t="s">
        <v>76</v>
      </c>
      <c r="C210" s="15">
        <v>14</v>
      </c>
      <c r="D210" s="171">
        <f t="shared" si="18"/>
        <v>7.8212290502793297E-2</v>
      </c>
    </row>
    <row r="211" spans="1:4" x14ac:dyDescent="0.3">
      <c r="A211" s="25" t="s">
        <v>90</v>
      </c>
      <c r="B211" s="15" t="s">
        <v>76</v>
      </c>
      <c r="C211" s="15">
        <v>14</v>
      </c>
      <c r="D211" s="171">
        <f t="shared" si="18"/>
        <v>7.8212290502793297E-2</v>
      </c>
    </row>
    <row r="212" spans="1:4" x14ac:dyDescent="0.3">
      <c r="A212" s="25" t="s">
        <v>91</v>
      </c>
      <c r="B212" s="15" t="s">
        <v>76</v>
      </c>
      <c r="C212" s="15">
        <v>3</v>
      </c>
      <c r="D212" s="171">
        <f t="shared" si="18"/>
        <v>1.6759776536312849E-2</v>
      </c>
    </row>
    <row r="213" spans="1:4" x14ac:dyDescent="0.3">
      <c r="A213" s="25" t="s">
        <v>92</v>
      </c>
      <c r="B213" s="15" t="s">
        <v>76</v>
      </c>
      <c r="C213" s="15">
        <v>2</v>
      </c>
      <c r="D213" s="171">
        <f t="shared" si="18"/>
        <v>1.11731843575419E-2</v>
      </c>
    </row>
    <row r="214" spans="1:4" x14ac:dyDescent="0.3">
      <c r="A214" s="25" t="s">
        <v>93</v>
      </c>
      <c r="B214" s="15" t="s">
        <v>76</v>
      </c>
      <c r="C214" s="15">
        <v>5</v>
      </c>
      <c r="D214" s="171">
        <f t="shared" si="18"/>
        <v>2.7932960893854747E-2</v>
      </c>
    </row>
    <row r="215" spans="1:4" x14ac:dyDescent="0.3">
      <c r="A215" s="25" t="s">
        <v>94</v>
      </c>
      <c r="B215" s="15" t="s">
        <v>78</v>
      </c>
      <c r="C215" s="15">
        <v>0</v>
      </c>
      <c r="D215" s="171">
        <f t="shared" si="18"/>
        <v>0</v>
      </c>
    </row>
    <row r="216" spans="1:4" x14ac:dyDescent="0.3">
      <c r="A216" s="25" t="s">
        <v>95</v>
      </c>
      <c r="B216" s="15" t="s">
        <v>78</v>
      </c>
      <c r="C216" s="15">
        <v>8</v>
      </c>
      <c r="D216" s="171">
        <f t="shared" si="18"/>
        <v>4.4692737430167599E-2</v>
      </c>
    </row>
    <row r="217" spans="1:4" x14ac:dyDescent="0.3">
      <c r="A217" s="25" t="s">
        <v>96</v>
      </c>
      <c r="B217" s="15" t="s">
        <v>78</v>
      </c>
      <c r="C217" s="15">
        <v>16</v>
      </c>
      <c r="D217" s="171">
        <f t="shared" si="18"/>
        <v>8.9385474860335198E-2</v>
      </c>
    </row>
    <row r="218" spans="1:4" x14ac:dyDescent="0.3">
      <c r="A218" s="25" t="s">
        <v>97</v>
      </c>
      <c r="B218" s="15" t="s">
        <v>79</v>
      </c>
      <c r="C218" s="15">
        <v>19</v>
      </c>
      <c r="D218" s="171">
        <f t="shared" si="18"/>
        <v>0.10614525139664804</v>
      </c>
    </row>
    <row r="219" spans="1:4" x14ac:dyDescent="0.3">
      <c r="A219" s="25" t="s">
        <v>98</v>
      </c>
      <c r="B219" s="15" t="s">
        <v>79</v>
      </c>
      <c r="C219" s="15">
        <v>1</v>
      </c>
      <c r="D219" s="171">
        <f t="shared" si="18"/>
        <v>5.5865921787709499E-3</v>
      </c>
    </row>
    <row r="220" spans="1:4" x14ac:dyDescent="0.3">
      <c r="A220" s="25" t="s">
        <v>99</v>
      </c>
      <c r="B220" s="15" t="s">
        <v>79</v>
      </c>
      <c r="C220" s="15">
        <v>5</v>
      </c>
      <c r="D220" s="171">
        <f t="shared" si="18"/>
        <v>2.7932960893854747E-2</v>
      </c>
    </row>
    <row r="221" spans="1:4" x14ac:dyDescent="0.3">
      <c r="A221" s="25" t="s">
        <v>100</v>
      </c>
      <c r="B221" s="15" t="s">
        <v>79</v>
      </c>
      <c r="C221" s="15">
        <v>8</v>
      </c>
      <c r="D221" s="171">
        <f t="shared" si="18"/>
        <v>4.4692737430167599E-2</v>
      </c>
    </row>
    <row r="222" spans="1:4" x14ac:dyDescent="0.3">
      <c r="A222" s="25" t="s">
        <v>101</v>
      </c>
      <c r="B222" s="15" t="s">
        <v>79</v>
      </c>
      <c r="C222" s="15">
        <v>5</v>
      </c>
      <c r="D222" s="171">
        <f t="shared" si="18"/>
        <v>2.7932960893854747E-2</v>
      </c>
    </row>
    <row r="223" spans="1:4" x14ac:dyDescent="0.3">
      <c r="A223" s="25" t="s">
        <v>102</v>
      </c>
      <c r="B223" s="15" t="s">
        <v>79</v>
      </c>
      <c r="C223" s="15">
        <v>5</v>
      </c>
      <c r="D223" s="171">
        <f t="shared" si="18"/>
        <v>2.7932960893854747E-2</v>
      </c>
    </row>
    <row r="224" spans="1:4" x14ac:dyDescent="0.3">
      <c r="A224" s="25" t="s">
        <v>103</v>
      </c>
      <c r="B224" s="15" t="s">
        <v>79</v>
      </c>
      <c r="C224" s="15">
        <v>6</v>
      </c>
      <c r="D224" s="171">
        <f t="shared" si="18"/>
        <v>3.3519553072625698E-2</v>
      </c>
    </row>
    <row r="225" spans="1:19" x14ac:dyDescent="0.3">
      <c r="A225" s="25" t="s">
        <v>106</v>
      </c>
      <c r="B225" s="15" t="s">
        <v>81</v>
      </c>
      <c r="C225" s="15">
        <v>1</v>
      </c>
      <c r="D225" s="171">
        <f t="shared" si="18"/>
        <v>5.5865921787709499E-3</v>
      </c>
    </row>
    <row r="226" spans="1:19" x14ac:dyDescent="0.3">
      <c r="A226" s="25" t="s">
        <v>107</v>
      </c>
      <c r="B226" s="15" t="s">
        <v>81</v>
      </c>
      <c r="C226" s="15">
        <v>0</v>
      </c>
      <c r="D226" s="171">
        <f t="shared" si="18"/>
        <v>0</v>
      </c>
    </row>
    <row r="227" spans="1:19" x14ac:dyDescent="0.3">
      <c r="A227" s="25" t="s">
        <v>108</v>
      </c>
      <c r="B227" s="15" t="s">
        <v>81</v>
      </c>
      <c r="C227" s="15">
        <v>8</v>
      </c>
      <c r="D227" s="171">
        <f t="shared" si="18"/>
        <v>4.4692737430167599E-2</v>
      </c>
    </row>
    <row r="228" spans="1:19" ht="14.5" thickBot="1" x14ac:dyDescent="0.35">
      <c r="A228" s="34" t="s">
        <v>130</v>
      </c>
      <c r="B228" s="24" t="s">
        <v>125</v>
      </c>
      <c r="C228" s="24">
        <v>12</v>
      </c>
      <c r="D228" s="169" t="s">
        <v>111</v>
      </c>
    </row>
    <row r="229" spans="1:19" x14ac:dyDescent="0.3">
      <c r="C229" s="17"/>
    </row>
    <row r="230" spans="1:19" x14ac:dyDescent="0.3">
      <c r="C230" s="17"/>
    </row>
    <row r="231" spans="1:19" ht="14.5" thickBot="1" x14ac:dyDescent="0.35">
      <c r="F231" s="14"/>
    </row>
    <row r="232" spans="1:19" s="1" customFormat="1" x14ac:dyDescent="0.3">
      <c r="A232" s="8" t="s">
        <v>131</v>
      </c>
      <c r="B232" s="9" t="s">
        <v>68</v>
      </c>
      <c r="C232" s="9" t="s">
        <v>49</v>
      </c>
      <c r="D232" s="58" t="s">
        <v>50</v>
      </c>
      <c r="F232" s="163" t="s">
        <v>132</v>
      </c>
      <c r="G232" s="9" t="s">
        <v>114</v>
      </c>
      <c r="H232" s="58" t="s">
        <v>50</v>
      </c>
    </row>
    <row r="233" spans="1:19" x14ac:dyDescent="0.3">
      <c r="A233" s="25" t="s">
        <v>71</v>
      </c>
      <c r="B233" s="15" t="s">
        <v>72</v>
      </c>
      <c r="C233" s="15">
        <v>5</v>
      </c>
      <c r="D233" s="171">
        <f>C233/114</f>
        <v>4.3859649122807015E-2</v>
      </c>
      <c r="F233" s="25" t="s">
        <v>72</v>
      </c>
      <c r="G233" s="15">
        <v>9</v>
      </c>
      <c r="H233" s="171">
        <f t="shared" ref="H233:H237" si="19">G233/114</f>
        <v>7.8947368421052627E-2</v>
      </c>
    </row>
    <row r="234" spans="1:19" x14ac:dyDescent="0.3">
      <c r="A234" s="25" t="s">
        <v>73</v>
      </c>
      <c r="B234" s="15" t="s">
        <v>72</v>
      </c>
      <c r="C234" s="15">
        <v>1</v>
      </c>
      <c r="D234" s="171">
        <f t="shared" ref="D234:D251" si="20">C234/114</f>
        <v>8.771929824561403E-3</v>
      </c>
      <c r="F234" s="25" t="s">
        <v>76</v>
      </c>
      <c r="G234" s="15">
        <v>29</v>
      </c>
      <c r="H234" s="171">
        <f t="shared" si="19"/>
        <v>0.25438596491228072</v>
      </c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</row>
    <row r="235" spans="1:19" x14ac:dyDescent="0.3">
      <c r="A235" s="25" t="s">
        <v>75</v>
      </c>
      <c r="B235" s="15" t="s">
        <v>72</v>
      </c>
      <c r="C235" s="15">
        <v>3</v>
      </c>
      <c r="D235" s="171">
        <f t="shared" si="20"/>
        <v>2.6315789473684209E-2</v>
      </c>
      <c r="F235" s="25" t="s">
        <v>78</v>
      </c>
      <c r="G235" s="15">
        <v>32</v>
      </c>
      <c r="H235" s="171">
        <f t="shared" si="19"/>
        <v>0.2807017543859649</v>
      </c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</row>
    <row r="236" spans="1:19" x14ac:dyDescent="0.3">
      <c r="A236" s="25" t="s">
        <v>115</v>
      </c>
      <c r="B236" s="15" t="s">
        <v>76</v>
      </c>
      <c r="C236" s="15">
        <v>4</v>
      </c>
      <c r="D236" s="171">
        <f t="shared" si="20"/>
        <v>3.5087719298245612E-2</v>
      </c>
      <c r="E236" s="44"/>
      <c r="F236" s="25" t="s">
        <v>79</v>
      </c>
      <c r="G236" s="15">
        <v>24</v>
      </c>
      <c r="H236" s="171">
        <f t="shared" si="19"/>
        <v>0.21052631578947367</v>
      </c>
    </row>
    <row r="237" spans="1:19" ht="14.5" thickBot="1" x14ac:dyDescent="0.35">
      <c r="A237" s="25" t="s">
        <v>85</v>
      </c>
      <c r="B237" s="15" t="s">
        <v>76</v>
      </c>
      <c r="C237" s="15">
        <v>1</v>
      </c>
      <c r="D237" s="171">
        <f t="shared" si="20"/>
        <v>8.771929824561403E-3</v>
      </c>
      <c r="F237" s="34" t="s">
        <v>81</v>
      </c>
      <c r="G237" s="24">
        <v>20</v>
      </c>
      <c r="H237" s="228">
        <f t="shared" si="19"/>
        <v>0.17543859649122806</v>
      </c>
    </row>
    <row r="238" spans="1:19" x14ac:dyDescent="0.3">
      <c r="A238" s="25" t="s">
        <v>87</v>
      </c>
      <c r="B238" s="15" t="s">
        <v>76</v>
      </c>
      <c r="C238" s="15">
        <v>8</v>
      </c>
      <c r="D238" s="171">
        <f t="shared" si="20"/>
        <v>7.0175438596491224E-2</v>
      </c>
      <c r="F238" s="111"/>
      <c r="H238" s="17"/>
    </row>
    <row r="239" spans="1:19" x14ac:dyDescent="0.3">
      <c r="A239" s="25" t="s">
        <v>89</v>
      </c>
      <c r="B239" s="15" t="s">
        <v>76</v>
      </c>
      <c r="C239" s="15">
        <v>1</v>
      </c>
      <c r="D239" s="171">
        <f t="shared" si="20"/>
        <v>8.771929824561403E-3</v>
      </c>
    </row>
    <row r="240" spans="1:19" x14ac:dyDescent="0.3">
      <c r="A240" s="25" t="s">
        <v>90</v>
      </c>
      <c r="B240" s="15" t="s">
        <v>76</v>
      </c>
      <c r="C240" s="15">
        <v>7</v>
      </c>
      <c r="D240" s="171">
        <f t="shared" si="20"/>
        <v>6.1403508771929821E-2</v>
      </c>
    </row>
    <row r="241" spans="1:4" x14ac:dyDescent="0.3">
      <c r="A241" s="25" t="s">
        <v>91</v>
      </c>
      <c r="B241" s="15" t="s">
        <v>76</v>
      </c>
      <c r="C241" s="15">
        <v>1</v>
      </c>
      <c r="D241" s="171">
        <f t="shared" si="20"/>
        <v>8.771929824561403E-3</v>
      </c>
    </row>
    <row r="242" spans="1:4" x14ac:dyDescent="0.3">
      <c r="A242" s="25" t="s">
        <v>93</v>
      </c>
      <c r="B242" s="15" t="s">
        <v>76</v>
      </c>
      <c r="C242" s="15">
        <v>7</v>
      </c>
      <c r="D242" s="171">
        <f t="shared" si="20"/>
        <v>6.1403508771929821E-2</v>
      </c>
    </row>
    <row r="243" spans="1:4" x14ac:dyDescent="0.3">
      <c r="A243" s="25" t="s">
        <v>94</v>
      </c>
      <c r="B243" s="15" t="s">
        <v>78</v>
      </c>
      <c r="C243" s="15">
        <v>3</v>
      </c>
      <c r="D243" s="171">
        <f t="shared" si="20"/>
        <v>2.6315789473684209E-2</v>
      </c>
    </row>
    <row r="244" spans="1:4" x14ac:dyDescent="0.3">
      <c r="A244" s="25" t="s">
        <v>95</v>
      </c>
      <c r="B244" s="15" t="s">
        <v>78</v>
      </c>
      <c r="C244" s="15">
        <v>1</v>
      </c>
      <c r="D244" s="171">
        <f t="shared" si="20"/>
        <v>8.771929824561403E-3</v>
      </c>
    </row>
    <row r="245" spans="1:4" x14ac:dyDescent="0.3">
      <c r="A245" s="25" t="s">
        <v>96</v>
      </c>
      <c r="B245" s="15" t="s">
        <v>78</v>
      </c>
      <c r="C245" s="15">
        <v>28</v>
      </c>
      <c r="D245" s="171">
        <f t="shared" si="20"/>
        <v>0.24561403508771928</v>
      </c>
    </row>
    <row r="246" spans="1:4" x14ac:dyDescent="0.3">
      <c r="A246" s="25" t="s">
        <v>97</v>
      </c>
      <c r="B246" s="15" t="s">
        <v>79</v>
      </c>
      <c r="C246" s="15">
        <v>21</v>
      </c>
      <c r="D246" s="171">
        <f t="shared" si="20"/>
        <v>0.18421052631578946</v>
      </c>
    </row>
    <row r="247" spans="1:4" x14ac:dyDescent="0.3">
      <c r="A247" s="25" t="s">
        <v>99</v>
      </c>
      <c r="B247" s="15" t="s">
        <v>79</v>
      </c>
      <c r="C247" s="15">
        <v>1</v>
      </c>
      <c r="D247" s="171">
        <f t="shared" si="20"/>
        <v>8.771929824561403E-3</v>
      </c>
    </row>
    <row r="248" spans="1:4" x14ac:dyDescent="0.3">
      <c r="A248" s="25" t="s">
        <v>102</v>
      </c>
      <c r="B248" s="15" t="s">
        <v>79</v>
      </c>
      <c r="C248" s="15">
        <v>2</v>
      </c>
      <c r="D248" s="171">
        <f t="shared" si="20"/>
        <v>1.7543859649122806E-2</v>
      </c>
    </row>
    <row r="249" spans="1:4" x14ac:dyDescent="0.3">
      <c r="A249" s="25" t="s">
        <v>138</v>
      </c>
      <c r="B249" s="15" t="s">
        <v>81</v>
      </c>
      <c r="C249" s="15">
        <v>1</v>
      </c>
      <c r="D249" s="171">
        <f t="shared" si="20"/>
        <v>8.771929824561403E-3</v>
      </c>
    </row>
    <row r="250" spans="1:4" x14ac:dyDescent="0.3">
      <c r="A250" s="25" t="s">
        <v>107</v>
      </c>
      <c r="B250" s="15" t="s">
        <v>81</v>
      </c>
      <c r="C250" s="15">
        <v>6</v>
      </c>
      <c r="D250" s="171">
        <f t="shared" si="20"/>
        <v>5.2631578947368418E-2</v>
      </c>
    </row>
    <row r="251" spans="1:4" x14ac:dyDescent="0.3">
      <c r="A251" s="25" t="s">
        <v>133</v>
      </c>
      <c r="B251" s="15" t="s">
        <v>81</v>
      </c>
      <c r="C251" s="15">
        <v>13</v>
      </c>
      <c r="D251" s="171">
        <f t="shared" si="20"/>
        <v>0.11403508771929824</v>
      </c>
    </row>
    <row r="252" spans="1:4" ht="14.5" thickBot="1" x14ac:dyDescent="0.35">
      <c r="A252" s="34" t="s">
        <v>130</v>
      </c>
      <c r="B252" s="24" t="s">
        <v>125</v>
      </c>
      <c r="C252" s="24">
        <v>22</v>
      </c>
      <c r="D252" s="169" t="s">
        <v>111</v>
      </c>
    </row>
  </sheetData>
  <sheetProtection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FFFF00"/>
  </sheetPr>
  <dimension ref="A1:I207"/>
  <sheetViews>
    <sheetView showGridLines="0" zoomScale="75" zoomScaleNormal="75" workbookViewId="0">
      <selection activeCell="B15" sqref="B15"/>
    </sheetView>
  </sheetViews>
  <sheetFormatPr defaultColWidth="9" defaultRowHeight="14" x14ac:dyDescent="0.3"/>
  <cols>
    <col min="1" max="1" width="84.1796875" style="13" customWidth="1"/>
    <col min="2" max="2" width="16.81640625" style="13" customWidth="1"/>
    <col min="3" max="5" width="16.54296875" style="13" customWidth="1"/>
    <col min="6" max="6" width="75.26953125" style="13" customWidth="1"/>
    <col min="7" max="8" width="14.1796875" style="13" bestFit="1" customWidth="1"/>
    <col min="9" max="16384" width="9" style="13"/>
  </cols>
  <sheetData>
    <row r="1" spans="1:5" x14ac:dyDescent="0.3">
      <c r="A1" s="3" t="s">
        <v>153</v>
      </c>
      <c r="B1" s="4" t="s">
        <v>1</v>
      </c>
      <c r="C1" s="4" t="s">
        <v>2</v>
      </c>
      <c r="D1" s="4" t="s">
        <v>3</v>
      </c>
      <c r="E1" s="5" t="s">
        <v>4</v>
      </c>
    </row>
    <row r="2" spans="1:5" x14ac:dyDescent="0.3">
      <c r="A2" s="28" t="s">
        <v>5</v>
      </c>
      <c r="B2" s="29">
        <v>3</v>
      </c>
      <c r="C2" s="29">
        <v>3</v>
      </c>
      <c r="D2" s="29">
        <v>3</v>
      </c>
      <c r="E2" s="30">
        <v>3</v>
      </c>
    </row>
    <row r="3" spans="1:5" x14ac:dyDescent="0.3">
      <c r="A3" s="28" t="s">
        <v>6</v>
      </c>
      <c r="B3" s="29">
        <v>2</v>
      </c>
      <c r="C3" s="29">
        <v>2</v>
      </c>
      <c r="D3" s="29">
        <v>2</v>
      </c>
      <c r="E3" s="30">
        <v>2</v>
      </c>
    </row>
    <row r="4" spans="1:5" x14ac:dyDescent="0.3">
      <c r="A4" s="28" t="s">
        <v>7</v>
      </c>
      <c r="B4" s="29">
        <v>2</v>
      </c>
      <c r="C4" s="29">
        <v>2</v>
      </c>
      <c r="D4" s="29">
        <v>2</v>
      </c>
      <c r="E4" s="30">
        <v>2</v>
      </c>
    </row>
    <row r="5" spans="1:5" x14ac:dyDescent="0.3">
      <c r="A5" s="28" t="s">
        <v>8</v>
      </c>
      <c r="B5" s="29">
        <v>1</v>
      </c>
      <c r="C5" s="29">
        <v>1</v>
      </c>
      <c r="D5" s="29">
        <v>1</v>
      </c>
      <c r="E5" s="30">
        <v>1</v>
      </c>
    </row>
    <row r="6" spans="1:5" x14ac:dyDescent="0.3">
      <c r="A6" s="31" t="s">
        <v>9</v>
      </c>
      <c r="B6" s="32">
        <v>0</v>
      </c>
      <c r="C6" s="32">
        <v>0</v>
      </c>
      <c r="D6" s="32">
        <v>0</v>
      </c>
      <c r="E6" s="33">
        <v>0</v>
      </c>
    </row>
    <row r="9" spans="1:5" ht="14.5" thickBot="1" x14ac:dyDescent="0.35"/>
    <row r="10" spans="1:5" x14ac:dyDescent="0.3">
      <c r="A10" s="8" t="s">
        <v>135</v>
      </c>
      <c r="B10" s="9" t="s">
        <v>1</v>
      </c>
      <c r="C10" s="9" t="s">
        <v>2</v>
      </c>
      <c r="D10" s="9" t="s">
        <v>3</v>
      </c>
      <c r="E10" s="58" t="s">
        <v>4</v>
      </c>
    </row>
    <row r="11" spans="1:5" x14ac:dyDescent="0.3">
      <c r="A11" s="10" t="s">
        <v>11</v>
      </c>
      <c r="B11" s="15">
        <v>28</v>
      </c>
      <c r="C11" s="15">
        <v>29</v>
      </c>
      <c r="D11" s="15">
        <v>34</v>
      </c>
      <c r="E11" s="69">
        <v>29</v>
      </c>
    </row>
    <row r="12" spans="1:5" x14ac:dyDescent="0.3">
      <c r="A12" s="10" t="s">
        <v>12</v>
      </c>
      <c r="B12" s="15">
        <v>72</v>
      </c>
      <c r="C12" s="15">
        <v>71</v>
      </c>
      <c r="D12" s="15">
        <v>83</v>
      </c>
      <c r="E12" s="69">
        <v>70</v>
      </c>
    </row>
    <row r="13" spans="1:5" x14ac:dyDescent="0.3">
      <c r="A13" s="10" t="s">
        <v>13</v>
      </c>
      <c r="B13" s="23">
        <v>7942.42</v>
      </c>
      <c r="C13" s="23">
        <v>8342.5400000000009</v>
      </c>
      <c r="D13" s="23">
        <v>9826.68</v>
      </c>
      <c r="E13" s="68">
        <v>10650.29</v>
      </c>
    </row>
    <row r="14" spans="1:5" x14ac:dyDescent="0.3">
      <c r="A14" s="10" t="s">
        <v>14</v>
      </c>
      <c r="B14" s="23">
        <f>B13*52/B11</f>
        <v>14750.208571428573</v>
      </c>
      <c r="C14" s="23">
        <f t="shared" ref="C14:E14" si="0">C13*52/C11</f>
        <v>14959.037241379312</v>
      </c>
      <c r="D14" s="23">
        <f t="shared" si="0"/>
        <v>15029.039999999999</v>
      </c>
      <c r="E14" s="68">
        <f t="shared" si="0"/>
        <v>19097.071724137935</v>
      </c>
    </row>
    <row r="15" spans="1:5" x14ac:dyDescent="0.3">
      <c r="A15" s="10" t="s">
        <v>15</v>
      </c>
      <c r="B15" s="23">
        <f>B13*52</f>
        <v>413005.84</v>
      </c>
      <c r="C15" s="23">
        <f t="shared" ref="C15:E15" si="1">C13*52</f>
        <v>433812.08000000007</v>
      </c>
      <c r="D15" s="23">
        <f t="shared" si="1"/>
        <v>510987.36</v>
      </c>
      <c r="E15" s="68">
        <f t="shared" si="1"/>
        <v>553815.08000000007</v>
      </c>
    </row>
    <row r="16" spans="1:5" ht="14.5" thickBot="1" x14ac:dyDescent="0.35">
      <c r="A16" s="114" t="s">
        <v>16</v>
      </c>
      <c r="B16" s="24">
        <v>434</v>
      </c>
      <c r="C16" s="24">
        <v>375</v>
      </c>
      <c r="D16" s="24">
        <v>377</v>
      </c>
      <c r="E16" s="70">
        <v>481</v>
      </c>
    </row>
    <row r="17" spans="1:6" x14ac:dyDescent="0.3">
      <c r="A17" s="112" t="s">
        <v>17</v>
      </c>
      <c r="B17" s="140">
        <v>19</v>
      </c>
      <c r="C17" s="140">
        <v>18</v>
      </c>
      <c r="D17" s="140">
        <v>23</v>
      </c>
      <c r="E17" s="141">
        <v>19</v>
      </c>
      <c r="F17" s="51"/>
    </row>
    <row r="18" spans="1:6" x14ac:dyDescent="0.3">
      <c r="A18" s="25" t="s">
        <v>18</v>
      </c>
      <c r="B18" s="41">
        <v>1</v>
      </c>
      <c r="C18" s="41">
        <v>1</v>
      </c>
      <c r="D18" s="41">
        <v>1</v>
      </c>
      <c r="E18" s="86">
        <v>1</v>
      </c>
      <c r="F18" s="93"/>
    </row>
    <row r="19" spans="1:6" x14ac:dyDescent="0.3">
      <c r="A19" s="78" t="s">
        <v>19</v>
      </c>
      <c r="B19" s="122">
        <f>B18/B17</f>
        <v>5.2631578947368418E-2</v>
      </c>
      <c r="C19" s="122">
        <f>C18/C17</f>
        <v>5.5555555555555552E-2</v>
      </c>
      <c r="D19" s="122">
        <f>D18/D17</f>
        <v>4.3478260869565216E-2</v>
      </c>
      <c r="E19" s="185">
        <f>E18/E17</f>
        <v>5.2631578947368418E-2</v>
      </c>
      <c r="F19" s="93"/>
    </row>
    <row r="20" spans="1:6" ht="14.5" thickBot="1" x14ac:dyDescent="0.35">
      <c r="A20" s="34" t="s">
        <v>20</v>
      </c>
      <c r="B20" s="72">
        <v>4</v>
      </c>
      <c r="C20" s="72">
        <v>3</v>
      </c>
      <c r="D20" s="72">
        <v>2</v>
      </c>
      <c r="E20" s="142">
        <v>4</v>
      </c>
      <c r="F20" s="51"/>
    </row>
    <row r="21" spans="1:6" x14ac:dyDescent="0.3">
      <c r="A21" s="112" t="s">
        <v>21</v>
      </c>
      <c r="B21" s="140">
        <v>4</v>
      </c>
      <c r="C21" s="140">
        <v>4</v>
      </c>
      <c r="D21" s="140">
        <v>5</v>
      </c>
      <c r="E21" s="141">
        <v>4</v>
      </c>
      <c r="F21" s="51"/>
    </row>
    <row r="22" spans="1:6" x14ac:dyDescent="0.3">
      <c r="A22" s="25" t="s">
        <v>136</v>
      </c>
      <c r="B22" s="41">
        <v>4</v>
      </c>
      <c r="C22" s="41">
        <v>4</v>
      </c>
      <c r="D22" s="41">
        <v>4</v>
      </c>
      <c r="E22" s="86">
        <v>1</v>
      </c>
      <c r="F22" s="93"/>
    </row>
    <row r="23" spans="1:6" x14ac:dyDescent="0.3">
      <c r="A23" s="25" t="s">
        <v>23</v>
      </c>
      <c r="B23" s="41">
        <v>0</v>
      </c>
      <c r="C23" s="41">
        <v>0</v>
      </c>
      <c r="D23" s="41">
        <v>0</v>
      </c>
      <c r="E23" s="86">
        <v>0</v>
      </c>
      <c r="F23" s="51"/>
    </row>
    <row r="24" spans="1:6" x14ac:dyDescent="0.3">
      <c r="A24" s="25" t="s">
        <v>24</v>
      </c>
      <c r="B24" s="15">
        <v>0</v>
      </c>
      <c r="C24" s="15">
        <v>0</v>
      </c>
      <c r="D24" s="15">
        <v>0</v>
      </c>
      <c r="E24" s="69">
        <v>1</v>
      </c>
      <c r="F24" s="51"/>
    </row>
    <row r="25" spans="1:6" ht="14.5" thickBot="1" x14ac:dyDescent="0.35">
      <c r="A25" s="34" t="s">
        <v>25</v>
      </c>
      <c r="B25" s="143">
        <f>(B24+B23+B21)/(B11-B26)</f>
        <v>0.14814814814814814</v>
      </c>
      <c r="C25" s="143">
        <f>(C24+C23+C21)/(C11-C26)</f>
        <v>0.16</v>
      </c>
      <c r="D25" s="143">
        <f>(D24+D23+D21)/(D11-D26)</f>
        <v>0.16666666666666666</v>
      </c>
      <c r="E25" s="184">
        <f t="shared" ref="E25" si="2">(E24+E23+E21)/(E11-E26)</f>
        <v>0.17857142857142858</v>
      </c>
      <c r="F25" s="51"/>
    </row>
    <row r="26" spans="1:6" ht="14.5" thickBot="1" x14ac:dyDescent="0.35">
      <c r="A26" s="115" t="s">
        <v>26</v>
      </c>
      <c r="B26" s="24">
        <v>1</v>
      </c>
      <c r="C26" s="24">
        <v>4</v>
      </c>
      <c r="D26" s="24">
        <v>4</v>
      </c>
      <c r="E26" s="70">
        <v>1</v>
      </c>
      <c r="F26" s="51"/>
    </row>
    <row r="27" spans="1:6" x14ac:dyDescent="0.3">
      <c r="A27" s="112" t="s">
        <v>27</v>
      </c>
      <c r="B27" s="46">
        <v>8</v>
      </c>
      <c r="C27" s="46">
        <v>2</v>
      </c>
      <c r="D27" s="46">
        <v>9</v>
      </c>
      <c r="E27" s="113">
        <v>5</v>
      </c>
    </row>
    <row r="28" spans="1:6" x14ac:dyDescent="0.3">
      <c r="A28" s="25" t="s">
        <v>28</v>
      </c>
      <c r="B28" s="15">
        <v>2</v>
      </c>
      <c r="C28" s="15">
        <v>5</v>
      </c>
      <c r="D28" s="15">
        <v>8</v>
      </c>
      <c r="E28" s="69">
        <v>3</v>
      </c>
    </row>
    <row r="29" spans="1:6" ht="14.5" thickBot="1" x14ac:dyDescent="0.35">
      <c r="A29" s="34" t="s">
        <v>29</v>
      </c>
      <c r="B29" s="24">
        <v>2</v>
      </c>
      <c r="C29" s="24">
        <v>4</v>
      </c>
      <c r="D29" s="24">
        <v>3</v>
      </c>
      <c r="E29" s="70">
        <v>8</v>
      </c>
    </row>
    <row r="32" spans="1:6" ht="14.5" thickBot="1" x14ac:dyDescent="0.35"/>
    <row r="33" spans="1:6" x14ac:dyDescent="0.3">
      <c r="A33" s="8" t="s">
        <v>30</v>
      </c>
      <c r="B33" s="9" t="s">
        <v>1</v>
      </c>
      <c r="C33" s="9" t="s">
        <v>2</v>
      </c>
      <c r="D33" s="9" t="s">
        <v>3</v>
      </c>
      <c r="E33" s="58" t="s">
        <v>4</v>
      </c>
    </row>
    <row r="34" spans="1:6" x14ac:dyDescent="0.3">
      <c r="A34" s="25" t="s">
        <v>11</v>
      </c>
      <c r="B34" s="15">
        <v>33</v>
      </c>
      <c r="C34" s="15">
        <v>34</v>
      </c>
      <c r="D34" s="15">
        <v>34</v>
      </c>
      <c r="E34" s="69">
        <v>34</v>
      </c>
    </row>
    <row r="35" spans="1:6" x14ac:dyDescent="0.3">
      <c r="A35" s="25" t="s">
        <v>13</v>
      </c>
      <c r="B35" s="23">
        <v>3355.08</v>
      </c>
      <c r="C35" s="23">
        <v>3390.65</v>
      </c>
      <c r="D35" s="23">
        <v>3379.32</v>
      </c>
      <c r="E35" s="68">
        <v>3371.77</v>
      </c>
    </row>
    <row r="36" spans="1:6" x14ac:dyDescent="0.3">
      <c r="A36" s="25" t="s">
        <v>14</v>
      </c>
      <c r="B36" s="23">
        <f>B35*52/B34</f>
        <v>5286.7927272727275</v>
      </c>
      <c r="C36" s="23">
        <f t="shared" ref="C36:E36" si="3">C35*52/C34</f>
        <v>5185.7000000000007</v>
      </c>
      <c r="D36" s="23">
        <f t="shared" si="3"/>
        <v>5168.3717647058829</v>
      </c>
      <c r="E36" s="68">
        <f t="shared" si="3"/>
        <v>5156.8247058823536</v>
      </c>
    </row>
    <row r="37" spans="1:6" x14ac:dyDescent="0.3">
      <c r="A37" s="25" t="s">
        <v>15</v>
      </c>
      <c r="B37" s="23">
        <f>B35*52</f>
        <v>174464.16</v>
      </c>
      <c r="C37" s="23">
        <f t="shared" ref="C37:E37" si="4">C35*52</f>
        <v>176313.80000000002</v>
      </c>
      <c r="D37" s="23">
        <f t="shared" si="4"/>
        <v>175724.64</v>
      </c>
      <c r="E37" s="68">
        <f t="shared" si="4"/>
        <v>175332.04</v>
      </c>
    </row>
    <row r="38" spans="1:6" ht="14.5" thickBot="1" x14ac:dyDescent="0.35">
      <c r="A38" s="34" t="s">
        <v>16</v>
      </c>
      <c r="B38" s="24">
        <v>811</v>
      </c>
      <c r="C38" s="24">
        <v>878</v>
      </c>
      <c r="D38" s="24">
        <v>970</v>
      </c>
      <c r="E38" s="70">
        <v>1060</v>
      </c>
    </row>
    <row r="39" spans="1:6" x14ac:dyDescent="0.3">
      <c r="A39" s="112" t="s">
        <v>31</v>
      </c>
      <c r="B39" s="46">
        <v>28</v>
      </c>
      <c r="C39" s="46">
        <v>28</v>
      </c>
      <c r="D39" s="46">
        <v>28</v>
      </c>
      <c r="E39" s="113">
        <v>27</v>
      </c>
      <c r="F39" s="51"/>
    </row>
    <row r="40" spans="1:6" x14ac:dyDescent="0.3">
      <c r="A40" s="25" t="s">
        <v>32</v>
      </c>
      <c r="B40" s="15">
        <v>7</v>
      </c>
      <c r="C40" s="15">
        <v>6</v>
      </c>
      <c r="D40" s="15">
        <v>7</v>
      </c>
      <c r="E40" s="69">
        <v>7</v>
      </c>
      <c r="F40" s="93"/>
    </row>
    <row r="41" spans="1:6" x14ac:dyDescent="0.3">
      <c r="A41" s="78" t="s">
        <v>19</v>
      </c>
      <c r="B41" s="122">
        <f>B40/B39</f>
        <v>0.25</v>
      </c>
      <c r="C41" s="122">
        <f t="shared" ref="C41:E41" si="5">C40/C39</f>
        <v>0.21428571428571427</v>
      </c>
      <c r="D41" s="122">
        <f t="shared" si="5"/>
        <v>0.25</v>
      </c>
      <c r="E41" s="185">
        <f t="shared" si="5"/>
        <v>0.25925925925925924</v>
      </c>
      <c r="F41" s="93"/>
    </row>
    <row r="42" spans="1:6" ht="14.5" thickBot="1" x14ac:dyDescent="0.35">
      <c r="A42" s="34" t="s">
        <v>33</v>
      </c>
      <c r="B42" s="24">
        <v>2</v>
      </c>
      <c r="C42" s="24">
        <v>3</v>
      </c>
      <c r="D42" s="24">
        <v>3</v>
      </c>
      <c r="E42" s="70">
        <v>4</v>
      </c>
      <c r="F42" s="51"/>
    </row>
    <row r="43" spans="1:6" x14ac:dyDescent="0.3">
      <c r="A43" s="112" t="s">
        <v>34</v>
      </c>
      <c r="B43" s="46">
        <v>3</v>
      </c>
      <c r="C43" s="46">
        <v>3</v>
      </c>
      <c r="D43" s="46">
        <v>3</v>
      </c>
      <c r="E43" s="113">
        <v>3</v>
      </c>
      <c r="F43" s="51"/>
    </row>
    <row r="44" spans="1:6" x14ac:dyDescent="0.3">
      <c r="A44" s="25" t="s">
        <v>35</v>
      </c>
      <c r="B44" s="15">
        <v>0</v>
      </c>
      <c r="C44" s="15">
        <v>0</v>
      </c>
      <c r="D44" s="15">
        <v>0</v>
      </c>
      <c r="E44" s="69">
        <v>0</v>
      </c>
      <c r="F44" s="93"/>
    </row>
    <row r="45" spans="1:6" x14ac:dyDescent="0.3">
      <c r="A45" s="25" t="s">
        <v>36</v>
      </c>
      <c r="B45" s="15">
        <v>0</v>
      </c>
      <c r="C45" s="15">
        <v>0</v>
      </c>
      <c r="D45" s="15">
        <v>0</v>
      </c>
      <c r="E45" s="69">
        <v>0</v>
      </c>
      <c r="F45" s="51"/>
    </row>
    <row r="46" spans="1:6" x14ac:dyDescent="0.3">
      <c r="A46" s="25" t="s">
        <v>37</v>
      </c>
      <c r="B46" s="15">
        <v>0</v>
      </c>
      <c r="C46" s="15">
        <v>0</v>
      </c>
      <c r="D46" s="15">
        <v>0</v>
      </c>
      <c r="E46" s="69">
        <v>0</v>
      </c>
      <c r="F46" s="51"/>
    </row>
    <row r="47" spans="1:6" ht="14.5" thickBot="1" x14ac:dyDescent="0.35">
      <c r="A47" s="34" t="s">
        <v>25</v>
      </c>
      <c r="B47" s="143">
        <f>(B46+B45+B43)/(B34-B48)</f>
        <v>9.0909090909090912E-2</v>
      </c>
      <c r="C47" s="143">
        <f t="shared" ref="C47:E47" si="6">(C46+C45+C43)/(C34-C48)</f>
        <v>8.8235294117647065E-2</v>
      </c>
      <c r="D47" s="143">
        <f t="shared" si="6"/>
        <v>8.8235294117647065E-2</v>
      </c>
      <c r="E47" s="184">
        <f t="shared" si="6"/>
        <v>8.8235294117647065E-2</v>
      </c>
      <c r="F47" s="51"/>
    </row>
    <row r="48" spans="1:6" ht="14.5" thickBot="1" x14ac:dyDescent="0.35">
      <c r="A48" s="115" t="s">
        <v>26</v>
      </c>
      <c r="B48" s="24">
        <v>0</v>
      </c>
      <c r="C48" s="24">
        <v>0</v>
      </c>
      <c r="D48" s="24">
        <v>0</v>
      </c>
      <c r="E48" s="70">
        <v>0</v>
      </c>
      <c r="F48" s="51"/>
    </row>
    <row r="49" spans="1:8" x14ac:dyDescent="0.3">
      <c r="A49" s="112" t="s">
        <v>27</v>
      </c>
      <c r="B49" s="46">
        <v>3</v>
      </c>
      <c r="C49" s="46">
        <v>1</v>
      </c>
      <c r="D49" s="46">
        <v>6</v>
      </c>
      <c r="E49" s="113">
        <v>3</v>
      </c>
    </row>
    <row r="50" spans="1:8" x14ac:dyDescent="0.3">
      <c r="A50" s="25" t="s">
        <v>28</v>
      </c>
      <c r="B50" s="15">
        <v>0</v>
      </c>
      <c r="C50" s="15">
        <v>1</v>
      </c>
      <c r="D50" s="15">
        <v>0</v>
      </c>
      <c r="E50" s="69">
        <v>0</v>
      </c>
    </row>
    <row r="51" spans="1:8" ht="14.5" thickBot="1" x14ac:dyDescent="0.35">
      <c r="A51" s="34" t="s">
        <v>29</v>
      </c>
      <c r="B51" s="24">
        <v>0</v>
      </c>
      <c r="C51" s="24">
        <v>0</v>
      </c>
      <c r="D51" s="24">
        <v>0</v>
      </c>
      <c r="E51" s="70">
        <v>0</v>
      </c>
    </row>
    <row r="52" spans="1:8" x14ac:dyDescent="0.3">
      <c r="A52" s="16"/>
      <c r="E52" s="37"/>
    </row>
    <row r="54" spans="1:8" ht="14.5" thickBot="1" x14ac:dyDescent="0.35"/>
    <row r="55" spans="1:8" x14ac:dyDescent="0.3">
      <c r="A55" s="8" t="s">
        <v>137</v>
      </c>
      <c r="B55" s="9" t="s">
        <v>1</v>
      </c>
      <c r="C55" s="9" t="s">
        <v>2</v>
      </c>
      <c r="D55" s="9" t="s">
        <v>3</v>
      </c>
      <c r="E55" s="58" t="s">
        <v>4</v>
      </c>
    </row>
    <row r="56" spans="1:8" x14ac:dyDescent="0.3">
      <c r="A56" s="25" t="s">
        <v>39</v>
      </c>
      <c r="B56" s="15">
        <v>0</v>
      </c>
      <c r="C56" s="15">
        <v>0</v>
      </c>
      <c r="D56" s="15">
        <v>0</v>
      </c>
      <c r="E56" s="69">
        <v>0</v>
      </c>
    </row>
    <row r="57" spans="1:8" x14ac:dyDescent="0.3">
      <c r="A57" s="25" t="s">
        <v>40</v>
      </c>
      <c r="B57" s="15">
        <v>0</v>
      </c>
      <c r="C57" s="15">
        <v>0</v>
      </c>
      <c r="D57" s="15">
        <v>0</v>
      </c>
      <c r="E57" s="69">
        <v>0</v>
      </c>
    </row>
    <row r="58" spans="1:8" x14ac:dyDescent="0.3">
      <c r="A58" s="25" t="s">
        <v>41</v>
      </c>
      <c r="B58" s="15">
        <v>0</v>
      </c>
      <c r="C58" s="15">
        <v>0</v>
      </c>
      <c r="D58" s="15">
        <v>0</v>
      </c>
      <c r="E58" s="69">
        <v>0</v>
      </c>
    </row>
    <row r="59" spans="1:8" ht="14.5" thickBot="1" x14ac:dyDescent="0.35">
      <c r="A59" s="34" t="s">
        <v>42</v>
      </c>
      <c r="B59" s="24">
        <v>0</v>
      </c>
      <c r="C59" s="24">
        <v>0</v>
      </c>
      <c r="D59" s="24">
        <v>0</v>
      </c>
      <c r="E59" s="70">
        <v>0</v>
      </c>
    </row>
    <row r="60" spans="1:8" x14ac:dyDescent="0.3">
      <c r="A60" s="112" t="s">
        <v>43</v>
      </c>
      <c r="B60" s="46">
        <v>0</v>
      </c>
      <c r="C60" s="46">
        <v>0</v>
      </c>
      <c r="D60" s="46">
        <v>0</v>
      </c>
      <c r="E60" s="113">
        <v>0</v>
      </c>
    </row>
    <row r="61" spans="1:8" x14ac:dyDescent="0.3">
      <c r="A61" s="25" t="s">
        <v>44</v>
      </c>
      <c r="B61" s="23">
        <v>0</v>
      </c>
      <c r="C61" s="23">
        <v>0</v>
      </c>
      <c r="D61" s="23">
        <v>0</v>
      </c>
      <c r="E61" s="68">
        <v>0</v>
      </c>
    </row>
    <row r="62" spans="1:8" x14ac:dyDescent="0.3">
      <c r="A62" s="25" t="s">
        <v>14</v>
      </c>
      <c r="B62" s="23">
        <v>0</v>
      </c>
      <c r="C62" s="23">
        <v>0</v>
      </c>
      <c r="D62" s="23">
        <v>0</v>
      </c>
      <c r="E62" s="68">
        <v>0</v>
      </c>
    </row>
    <row r="63" spans="1:8" ht="14.5" thickBot="1" x14ac:dyDescent="0.35">
      <c r="A63" s="34" t="s">
        <v>15</v>
      </c>
      <c r="B63" s="120">
        <v>0</v>
      </c>
      <c r="C63" s="120">
        <v>0</v>
      </c>
      <c r="D63" s="120">
        <v>0</v>
      </c>
      <c r="E63" s="121">
        <v>0</v>
      </c>
      <c r="H63" s="173"/>
    </row>
    <row r="64" spans="1:8" x14ac:dyDescent="0.3">
      <c r="A64" s="112" t="s">
        <v>45</v>
      </c>
      <c r="B64" s="46">
        <v>0</v>
      </c>
      <c r="C64" s="46">
        <v>0</v>
      </c>
      <c r="D64" s="46">
        <v>0</v>
      </c>
      <c r="E64" s="113">
        <v>0</v>
      </c>
    </row>
    <row r="65" spans="1:6" x14ac:dyDescent="0.3">
      <c r="A65" s="78" t="s">
        <v>46</v>
      </c>
      <c r="B65" s="15">
        <v>0</v>
      </c>
      <c r="C65" s="15">
        <v>0</v>
      </c>
      <c r="D65" s="15">
        <v>0</v>
      </c>
      <c r="E65" s="69">
        <v>0</v>
      </c>
    </row>
    <row r="66" spans="1:6" ht="14.5" thickBot="1" x14ac:dyDescent="0.35">
      <c r="A66" s="34" t="s">
        <v>47</v>
      </c>
      <c r="B66" s="24">
        <v>0</v>
      </c>
      <c r="C66" s="24">
        <v>0</v>
      </c>
      <c r="D66" s="24">
        <v>0</v>
      </c>
      <c r="E66" s="70">
        <v>0</v>
      </c>
    </row>
    <row r="67" spans="1:6" x14ac:dyDescent="0.3">
      <c r="A67" s="16"/>
      <c r="C67" s="17"/>
    </row>
    <row r="68" spans="1:6" x14ac:dyDescent="0.3">
      <c r="A68" s="16"/>
      <c r="C68" s="17"/>
    </row>
    <row r="69" spans="1:6" s="1" customFormat="1" ht="14.5" thickBot="1" x14ac:dyDescent="0.35">
      <c r="A69" s="11"/>
    </row>
    <row r="70" spans="1:6" s="1" customFormat="1" x14ac:dyDescent="0.3">
      <c r="A70" s="190" t="s">
        <v>48</v>
      </c>
      <c r="B70" s="73" t="s">
        <v>49</v>
      </c>
      <c r="C70" s="191" t="s">
        <v>50</v>
      </c>
    </row>
    <row r="71" spans="1:6" s="1" customFormat="1" x14ac:dyDescent="0.3">
      <c r="A71" s="10" t="s">
        <v>51</v>
      </c>
      <c r="B71" s="123">
        <v>3</v>
      </c>
      <c r="C71" s="171">
        <f>B71/17</f>
        <v>0.17647058823529413</v>
      </c>
    </row>
    <row r="72" spans="1:6" s="1" customFormat="1" x14ac:dyDescent="0.3">
      <c r="A72" s="10" t="s">
        <v>52</v>
      </c>
      <c r="B72" s="123">
        <v>0</v>
      </c>
      <c r="C72" s="171">
        <f t="shared" ref="C72:C77" si="7">B72/17</f>
        <v>0</v>
      </c>
    </row>
    <row r="73" spans="1:6" s="1" customFormat="1" x14ac:dyDescent="0.3">
      <c r="A73" s="10" t="s">
        <v>53</v>
      </c>
      <c r="B73" s="123">
        <v>0</v>
      </c>
      <c r="C73" s="171">
        <f t="shared" si="7"/>
        <v>0</v>
      </c>
    </row>
    <row r="74" spans="1:6" s="1" customFormat="1" x14ac:dyDescent="0.3">
      <c r="A74" s="10" t="s">
        <v>54</v>
      </c>
      <c r="B74" s="123">
        <v>13</v>
      </c>
      <c r="C74" s="171">
        <f t="shared" si="7"/>
        <v>0.76470588235294112</v>
      </c>
    </row>
    <row r="75" spans="1:6" s="1" customFormat="1" x14ac:dyDescent="0.3">
      <c r="A75" s="10" t="s">
        <v>55</v>
      </c>
      <c r="B75" s="123">
        <v>1</v>
      </c>
      <c r="C75" s="171">
        <f t="shared" si="7"/>
        <v>5.8823529411764705E-2</v>
      </c>
      <c r="F75" s="84"/>
    </row>
    <row r="76" spans="1:6" s="1" customFormat="1" x14ac:dyDescent="0.3">
      <c r="A76" s="10" t="s">
        <v>56</v>
      </c>
      <c r="B76" s="123">
        <v>0</v>
      </c>
      <c r="C76" s="171">
        <f t="shared" si="7"/>
        <v>0</v>
      </c>
    </row>
    <row r="77" spans="1:6" s="1" customFormat="1" x14ac:dyDescent="0.3">
      <c r="A77" s="10" t="s">
        <v>57</v>
      </c>
      <c r="B77" s="123">
        <v>0</v>
      </c>
      <c r="C77" s="171">
        <f t="shared" si="7"/>
        <v>0</v>
      </c>
    </row>
    <row r="78" spans="1:6" s="1" customFormat="1" ht="14.5" thickBot="1" x14ac:dyDescent="0.35">
      <c r="A78" s="192" t="s">
        <v>49</v>
      </c>
      <c r="B78" s="193">
        <f>SUM(B71:B77)</f>
        <v>17</v>
      </c>
      <c r="C78" s="194">
        <f>SUM(C71:C77)</f>
        <v>1</v>
      </c>
    </row>
    <row r="79" spans="1:6" s="1" customFormat="1" x14ac:dyDescent="0.3">
      <c r="A79" s="174"/>
      <c r="B79" s="174"/>
      <c r="C79" s="175"/>
      <c r="D79" s="174"/>
    </row>
    <row r="80" spans="1:6" s="1" customFormat="1" ht="14.5" thickBot="1" x14ac:dyDescent="0.35">
      <c r="A80" s="174"/>
      <c r="B80" s="174"/>
      <c r="C80" s="175"/>
      <c r="D80" s="174"/>
    </row>
    <row r="81" spans="1:4" s="1" customFormat="1" ht="14.25" customHeight="1" x14ac:dyDescent="0.3">
      <c r="A81" s="238" t="s">
        <v>58</v>
      </c>
      <c r="B81" s="239" t="s">
        <v>49</v>
      </c>
      <c r="C81" s="240" t="s">
        <v>50</v>
      </c>
      <c r="D81" s="80"/>
    </row>
    <row r="82" spans="1:4" s="1" customFormat="1" ht="14.25" customHeight="1" x14ac:dyDescent="0.3">
      <c r="A82" s="195" t="s">
        <v>59</v>
      </c>
      <c r="B82" s="123">
        <v>0</v>
      </c>
      <c r="C82" s="171">
        <f t="shared" ref="C82:C86" si="8">B82/1</f>
        <v>0</v>
      </c>
      <c r="D82" s="80"/>
    </row>
    <row r="83" spans="1:4" s="1" customFormat="1" ht="14.25" customHeight="1" x14ac:dyDescent="0.3">
      <c r="A83" s="195" t="s">
        <v>60</v>
      </c>
      <c r="B83" s="123">
        <v>0</v>
      </c>
      <c r="C83" s="171">
        <f t="shared" si="8"/>
        <v>0</v>
      </c>
      <c r="D83" s="80"/>
    </row>
    <row r="84" spans="1:4" s="1" customFormat="1" ht="14.25" customHeight="1" x14ac:dyDescent="0.3">
      <c r="A84" s="195" t="s">
        <v>61</v>
      </c>
      <c r="B84" s="123">
        <v>0</v>
      </c>
      <c r="C84" s="171">
        <f t="shared" si="8"/>
        <v>0</v>
      </c>
      <c r="D84" s="80"/>
    </row>
    <row r="85" spans="1:4" s="1" customFormat="1" ht="14.25" customHeight="1" x14ac:dyDescent="0.3">
      <c r="A85" s="195" t="s">
        <v>62</v>
      </c>
      <c r="B85" s="123">
        <v>0</v>
      </c>
      <c r="C85" s="171">
        <f t="shared" si="8"/>
        <v>0</v>
      </c>
      <c r="D85" s="80"/>
    </row>
    <row r="86" spans="1:4" s="1" customFormat="1" ht="14.25" customHeight="1" x14ac:dyDescent="0.3">
      <c r="A86" s="195" t="s">
        <v>63</v>
      </c>
      <c r="B86" s="123">
        <v>0</v>
      </c>
      <c r="C86" s="171">
        <f t="shared" si="8"/>
        <v>0</v>
      </c>
      <c r="D86" s="80"/>
    </row>
    <row r="87" spans="1:4" s="1" customFormat="1" ht="14.5" thickBot="1" x14ac:dyDescent="0.35">
      <c r="A87" s="197" t="s">
        <v>49</v>
      </c>
      <c r="B87" s="198">
        <f>SUM(B82:B86)</f>
        <v>0</v>
      </c>
      <c r="C87" s="218">
        <f>SUM(C82:C86)</f>
        <v>0</v>
      </c>
      <c r="D87" s="17"/>
    </row>
    <row r="88" spans="1:4" s="1" customFormat="1" x14ac:dyDescent="0.3">
      <c r="A88" s="176"/>
      <c r="B88" s="177"/>
      <c r="C88" s="178"/>
      <c r="D88" s="170"/>
    </row>
    <row r="89" spans="1:4" s="1" customFormat="1" x14ac:dyDescent="0.3">
      <c r="A89" s="176"/>
      <c r="B89" s="177"/>
      <c r="C89" s="178"/>
      <c r="D89" s="170"/>
    </row>
    <row r="90" spans="1:4" s="1" customFormat="1" ht="14.5" thickBot="1" x14ac:dyDescent="0.35">
      <c r="A90" s="137"/>
      <c r="B90" s="138"/>
      <c r="C90" s="139"/>
      <c r="D90" s="17"/>
    </row>
    <row r="91" spans="1:4" s="1" customFormat="1" x14ac:dyDescent="0.3">
      <c r="A91" s="201" t="s">
        <v>64</v>
      </c>
      <c r="B91" s="202" t="s">
        <v>49</v>
      </c>
      <c r="C91" s="203" t="s">
        <v>50</v>
      </c>
      <c r="D91" s="2"/>
    </row>
    <row r="92" spans="1:4" s="1" customFormat="1" x14ac:dyDescent="0.3">
      <c r="A92" s="10" t="s">
        <v>51</v>
      </c>
      <c r="B92" s="123">
        <v>0</v>
      </c>
      <c r="C92" s="171">
        <f t="shared" ref="C92:C98" si="9">B92/1</f>
        <v>0</v>
      </c>
      <c r="D92" s="2"/>
    </row>
    <row r="93" spans="1:4" s="1" customFormat="1" x14ac:dyDescent="0.3">
      <c r="A93" s="204" t="s">
        <v>52</v>
      </c>
      <c r="B93" s="123">
        <v>0</v>
      </c>
      <c r="C93" s="171">
        <f t="shared" si="9"/>
        <v>0</v>
      </c>
      <c r="D93" s="2"/>
    </row>
    <row r="94" spans="1:4" s="1" customFormat="1" x14ac:dyDescent="0.3">
      <c r="A94" s="204" t="s">
        <v>53</v>
      </c>
      <c r="B94" s="123">
        <v>0</v>
      </c>
      <c r="C94" s="171">
        <f t="shared" si="9"/>
        <v>0</v>
      </c>
      <c r="D94" s="2"/>
    </row>
    <row r="95" spans="1:4" s="1" customFormat="1" x14ac:dyDescent="0.3">
      <c r="A95" s="204" t="s">
        <v>54</v>
      </c>
      <c r="B95" s="123">
        <v>0</v>
      </c>
      <c r="C95" s="171">
        <f t="shared" si="9"/>
        <v>0</v>
      </c>
      <c r="D95" s="2"/>
    </row>
    <row r="96" spans="1:4" s="1" customFormat="1" x14ac:dyDescent="0.3">
      <c r="A96" s="204" t="s">
        <v>55</v>
      </c>
      <c r="B96" s="123">
        <v>0</v>
      </c>
      <c r="C96" s="171">
        <f t="shared" si="9"/>
        <v>0</v>
      </c>
      <c r="D96" s="2"/>
    </row>
    <row r="97" spans="1:8" s="1" customFormat="1" x14ac:dyDescent="0.3">
      <c r="A97" s="204" t="s">
        <v>56</v>
      </c>
      <c r="B97" s="123">
        <v>0</v>
      </c>
      <c r="C97" s="171">
        <f t="shared" si="9"/>
        <v>0</v>
      </c>
      <c r="D97" s="2"/>
    </row>
    <row r="98" spans="1:8" s="1" customFormat="1" x14ac:dyDescent="0.3">
      <c r="A98" s="204" t="s">
        <v>57</v>
      </c>
      <c r="B98" s="123">
        <v>0</v>
      </c>
      <c r="C98" s="171">
        <f t="shared" si="9"/>
        <v>0</v>
      </c>
      <c r="D98" s="2"/>
    </row>
    <row r="99" spans="1:8" s="1" customFormat="1" ht="14.5" thickBot="1" x14ac:dyDescent="0.35">
      <c r="A99" s="205" t="s">
        <v>49</v>
      </c>
      <c r="B99" s="206">
        <f>SUM(B92:B98)</f>
        <v>0</v>
      </c>
      <c r="C99" s="217">
        <f>SUM(C92:C98)</f>
        <v>0</v>
      </c>
      <c r="D99" s="2"/>
    </row>
    <row r="100" spans="1:8" s="1" customFormat="1" x14ac:dyDescent="0.3">
      <c r="A100" s="179"/>
      <c r="B100" s="179"/>
      <c r="C100" s="180"/>
      <c r="D100" s="2"/>
    </row>
    <row r="101" spans="1:8" s="1" customFormat="1" ht="14.5" thickBot="1" x14ac:dyDescent="0.35">
      <c r="A101" s="179"/>
      <c r="B101" s="179"/>
      <c r="C101" s="180"/>
      <c r="D101" s="2"/>
    </row>
    <row r="102" spans="1:8" s="1" customFormat="1" x14ac:dyDescent="0.3">
      <c r="A102" s="208" t="s">
        <v>65</v>
      </c>
      <c r="B102" s="209" t="s">
        <v>49</v>
      </c>
      <c r="C102" s="203" t="s">
        <v>50</v>
      </c>
      <c r="D102" s="2"/>
    </row>
    <row r="103" spans="1:8" s="1" customFormat="1" x14ac:dyDescent="0.3">
      <c r="A103" s="210" t="s">
        <v>59</v>
      </c>
      <c r="B103" s="123">
        <v>0</v>
      </c>
      <c r="C103" s="171">
        <f t="shared" ref="C103:C107" si="10">B103/1</f>
        <v>0</v>
      </c>
      <c r="D103" s="2"/>
    </row>
    <row r="104" spans="1:8" s="1" customFormat="1" x14ac:dyDescent="0.3">
      <c r="A104" s="212" t="s">
        <v>60</v>
      </c>
      <c r="B104" s="123">
        <v>0</v>
      </c>
      <c r="C104" s="171">
        <f t="shared" si="10"/>
        <v>0</v>
      </c>
      <c r="D104" s="2"/>
    </row>
    <row r="105" spans="1:8" s="1" customFormat="1" x14ac:dyDescent="0.3">
      <c r="A105" s="212" t="s">
        <v>61</v>
      </c>
      <c r="B105" s="123">
        <v>0</v>
      </c>
      <c r="C105" s="171">
        <f t="shared" si="10"/>
        <v>0</v>
      </c>
      <c r="D105" s="2"/>
    </row>
    <row r="106" spans="1:8" s="1" customFormat="1" x14ac:dyDescent="0.3">
      <c r="A106" s="212" t="s">
        <v>62</v>
      </c>
      <c r="B106" s="123">
        <v>0</v>
      </c>
      <c r="C106" s="171">
        <f t="shared" si="10"/>
        <v>0</v>
      </c>
      <c r="D106" s="2"/>
    </row>
    <row r="107" spans="1:8" s="1" customFormat="1" x14ac:dyDescent="0.3">
      <c r="A107" s="212" t="s">
        <v>63</v>
      </c>
      <c r="B107" s="123">
        <v>0</v>
      </c>
      <c r="C107" s="171">
        <f t="shared" si="10"/>
        <v>0</v>
      </c>
      <c r="D107" s="2"/>
    </row>
    <row r="108" spans="1:8" s="1" customFormat="1" ht="14.5" thickBot="1" x14ac:dyDescent="0.35">
      <c r="A108" s="214" t="s">
        <v>49</v>
      </c>
      <c r="B108" s="206">
        <f>SUM(B103:B107)</f>
        <v>0</v>
      </c>
      <c r="C108" s="215">
        <f>SUM(C103:C107)</f>
        <v>0</v>
      </c>
      <c r="D108" s="2"/>
    </row>
    <row r="109" spans="1:8" s="1" customFormat="1" x14ac:dyDescent="0.3">
      <c r="A109" s="13"/>
      <c r="D109" s="2"/>
    </row>
    <row r="110" spans="1:8" x14ac:dyDescent="0.3">
      <c r="A110" s="248" t="s">
        <v>66</v>
      </c>
    </row>
    <row r="111" spans="1:8" ht="14.5" thickBot="1" x14ac:dyDescent="0.35">
      <c r="A111" s="16"/>
    </row>
    <row r="112" spans="1:8" s="1" customFormat="1" ht="14.25" customHeight="1" x14ac:dyDescent="0.3">
      <c r="A112" s="49" t="s">
        <v>67</v>
      </c>
      <c r="B112" s="73" t="s">
        <v>68</v>
      </c>
      <c r="C112" s="79" t="s">
        <v>49</v>
      </c>
      <c r="D112" s="74" t="s">
        <v>50</v>
      </c>
      <c r="F112" s="163" t="s">
        <v>69</v>
      </c>
      <c r="G112" s="164" t="s">
        <v>70</v>
      </c>
      <c r="H112" s="165" t="s">
        <v>50</v>
      </c>
    </row>
    <row r="113" spans="1:8" x14ac:dyDescent="0.3">
      <c r="A113" s="25" t="s">
        <v>71</v>
      </c>
      <c r="B113" s="15" t="s">
        <v>72</v>
      </c>
      <c r="C113" s="15">
        <v>3</v>
      </c>
      <c r="D113" s="171">
        <f>C113/28</f>
        <v>0.10714285714285714</v>
      </c>
      <c r="E113" s="45"/>
      <c r="F113" s="25" t="s">
        <v>72</v>
      </c>
      <c r="G113" s="15">
        <v>9</v>
      </c>
      <c r="H113" s="171">
        <f t="shared" ref="H113:H117" si="11">G113/28</f>
        <v>0.32142857142857145</v>
      </c>
    </row>
    <row r="114" spans="1:8" x14ac:dyDescent="0.3">
      <c r="A114" s="25" t="s">
        <v>73</v>
      </c>
      <c r="B114" s="15" t="s">
        <v>72</v>
      </c>
      <c r="C114" s="15">
        <v>2</v>
      </c>
      <c r="D114" s="171">
        <f t="shared" ref="D114:D126" si="12">C114/28</f>
        <v>7.1428571428571425E-2</v>
      </c>
      <c r="E114" s="45"/>
      <c r="F114" s="25" t="s">
        <v>76</v>
      </c>
      <c r="G114" s="15">
        <v>5</v>
      </c>
      <c r="H114" s="171">
        <f t="shared" si="11"/>
        <v>0.17857142857142858</v>
      </c>
    </row>
    <row r="115" spans="1:8" x14ac:dyDescent="0.3">
      <c r="A115" s="25" t="s">
        <v>75</v>
      </c>
      <c r="B115" s="15" t="s">
        <v>72</v>
      </c>
      <c r="C115" s="15">
        <v>3</v>
      </c>
      <c r="D115" s="171">
        <f t="shared" si="12"/>
        <v>0.10714285714285714</v>
      </c>
      <c r="E115" s="45"/>
      <c r="F115" s="25" t="s">
        <v>78</v>
      </c>
      <c r="G115" s="15">
        <v>2</v>
      </c>
      <c r="H115" s="171">
        <f t="shared" si="11"/>
        <v>7.1428571428571425E-2</v>
      </c>
    </row>
    <row r="116" spans="1:8" x14ac:dyDescent="0.3">
      <c r="A116" s="25" t="s">
        <v>77</v>
      </c>
      <c r="B116" s="15" t="s">
        <v>72</v>
      </c>
      <c r="C116" s="15">
        <v>1</v>
      </c>
      <c r="D116" s="171">
        <f t="shared" si="12"/>
        <v>3.5714285714285712E-2</v>
      </c>
      <c r="E116" s="45"/>
      <c r="F116" s="25" t="s">
        <v>79</v>
      </c>
      <c r="G116" s="15">
        <v>4</v>
      </c>
      <c r="H116" s="171">
        <f t="shared" si="11"/>
        <v>0.14285714285714285</v>
      </c>
    </row>
    <row r="117" spans="1:8" ht="14.5" thickBot="1" x14ac:dyDescent="0.35">
      <c r="A117" s="25" t="s">
        <v>87</v>
      </c>
      <c r="B117" s="15" t="s">
        <v>76</v>
      </c>
      <c r="C117" s="15">
        <v>1</v>
      </c>
      <c r="D117" s="171">
        <f t="shared" si="12"/>
        <v>3.5714285714285712E-2</v>
      </c>
      <c r="E117" s="45"/>
      <c r="F117" s="34" t="s">
        <v>81</v>
      </c>
      <c r="G117" s="24">
        <v>8</v>
      </c>
      <c r="H117" s="228">
        <f t="shared" si="11"/>
        <v>0.2857142857142857</v>
      </c>
    </row>
    <row r="118" spans="1:8" x14ac:dyDescent="0.3">
      <c r="A118" s="25" t="s">
        <v>90</v>
      </c>
      <c r="B118" s="15" t="s">
        <v>76</v>
      </c>
      <c r="C118" s="15">
        <v>3</v>
      </c>
      <c r="D118" s="171">
        <f t="shared" si="12"/>
        <v>0.10714285714285714</v>
      </c>
      <c r="E118" s="45"/>
      <c r="H118" s="17"/>
    </row>
    <row r="119" spans="1:8" x14ac:dyDescent="0.3">
      <c r="A119" s="25" t="s">
        <v>92</v>
      </c>
      <c r="B119" s="15" t="s">
        <v>76</v>
      </c>
      <c r="C119" s="15">
        <v>1</v>
      </c>
      <c r="D119" s="171">
        <f t="shared" si="12"/>
        <v>3.5714285714285712E-2</v>
      </c>
      <c r="E119" s="45"/>
    </row>
    <row r="120" spans="1:8" x14ac:dyDescent="0.3">
      <c r="A120" s="25" t="s">
        <v>95</v>
      </c>
      <c r="B120" s="15" t="s">
        <v>78</v>
      </c>
      <c r="C120" s="15">
        <v>1</v>
      </c>
      <c r="D120" s="171">
        <f t="shared" si="12"/>
        <v>3.5714285714285712E-2</v>
      </c>
    </row>
    <row r="121" spans="1:8" x14ac:dyDescent="0.3">
      <c r="A121" s="25" t="s">
        <v>96</v>
      </c>
      <c r="B121" s="15" t="s">
        <v>78</v>
      </c>
      <c r="C121" s="15">
        <v>1</v>
      </c>
      <c r="D121" s="171">
        <f t="shared" si="12"/>
        <v>3.5714285714285712E-2</v>
      </c>
    </row>
    <row r="122" spans="1:8" x14ac:dyDescent="0.3">
      <c r="A122" s="25" t="s">
        <v>97</v>
      </c>
      <c r="B122" s="15" t="s">
        <v>79</v>
      </c>
      <c r="C122" s="15">
        <v>2</v>
      </c>
      <c r="D122" s="171">
        <f t="shared" si="12"/>
        <v>7.1428571428571425E-2</v>
      </c>
    </row>
    <row r="123" spans="1:8" x14ac:dyDescent="0.3">
      <c r="A123" s="25" t="s">
        <v>100</v>
      </c>
      <c r="B123" s="15" t="s">
        <v>79</v>
      </c>
      <c r="C123" s="15">
        <v>1</v>
      </c>
      <c r="D123" s="171">
        <f t="shared" si="12"/>
        <v>3.5714285714285712E-2</v>
      </c>
    </row>
    <row r="124" spans="1:8" x14ac:dyDescent="0.3">
      <c r="A124" s="25" t="s">
        <v>102</v>
      </c>
      <c r="B124" s="15" t="s">
        <v>79</v>
      </c>
      <c r="C124" s="15">
        <v>1</v>
      </c>
      <c r="D124" s="171">
        <f t="shared" si="12"/>
        <v>3.5714285714285712E-2</v>
      </c>
    </row>
    <row r="125" spans="1:8" x14ac:dyDescent="0.3">
      <c r="A125" s="25" t="s">
        <v>138</v>
      </c>
      <c r="B125" s="15" t="s">
        <v>81</v>
      </c>
      <c r="C125" s="15">
        <v>1</v>
      </c>
      <c r="D125" s="171">
        <f t="shared" si="12"/>
        <v>3.5714285714285712E-2</v>
      </c>
    </row>
    <row r="126" spans="1:8" x14ac:dyDescent="0.3">
      <c r="A126" s="25" t="s">
        <v>107</v>
      </c>
      <c r="B126" s="15" t="s">
        <v>81</v>
      </c>
      <c r="C126" s="15">
        <v>7</v>
      </c>
      <c r="D126" s="171">
        <f t="shared" si="12"/>
        <v>0.25</v>
      </c>
    </row>
    <row r="127" spans="1:8" ht="14.5" thickBot="1" x14ac:dyDescent="0.35">
      <c r="A127" s="34" t="s">
        <v>109</v>
      </c>
      <c r="B127" s="24" t="s">
        <v>110</v>
      </c>
      <c r="C127" s="24">
        <v>1</v>
      </c>
      <c r="D127" s="169" t="s">
        <v>111</v>
      </c>
    </row>
    <row r="128" spans="1:8" x14ac:dyDescent="0.3">
      <c r="C128" s="17"/>
    </row>
    <row r="129" spans="1:8" x14ac:dyDescent="0.3">
      <c r="C129" s="17"/>
    </row>
    <row r="130" spans="1:8" x14ac:dyDescent="0.3">
      <c r="C130" s="17"/>
    </row>
    <row r="131" spans="1:8" x14ac:dyDescent="0.3">
      <c r="C131" s="17"/>
    </row>
    <row r="132" spans="1:8" x14ac:dyDescent="0.3">
      <c r="C132" s="17"/>
    </row>
    <row r="133" spans="1:8" x14ac:dyDescent="0.3">
      <c r="C133" s="17"/>
    </row>
    <row r="134" spans="1:8" x14ac:dyDescent="0.3">
      <c r="C134" s="17"/>
    </row>
    <row r="135" spans="1:8" x14ac:dyDescent="0.3">
      <c r="C135" s="17"/>
    </row>
    <row r="136" spans="1:8" x14ac:dyDescent="0.3">
      <c r="C136" s="17"/>
    </row>
    <row r="137" spans="1:8" x14ac:dyDescent="0.3">
      <c r="C137" s="17"/>
    </row>
    <row r="138" spans="1:8" x14ac:dyDescent="0.3">
      <c r="C138" s="17"/>
    </row>
    <row r="139" spans="1:8" ht="14.5" thickBot="1" x14ac:dyDescent="0.35"/>
    <row r="140" spans="1:8" x14ac:dyDescent="0.3">
      <c r="A140" s="8" t="s">
        <v>112</v>
      </c>
      <c r="B140" s="73" t="s">
        <v>68</v>
      </c>
      <c r="C140" s="9" t="s">
        <v>49</v>
      </c>
      <c r="D140" s="58" t="s">
        <v>50</v>
      </c>
      <c r="F140" s="163" t="s">
        <v>113</v>
      </c>
      <c r="G140" s="9" t="s">
        <v>114</v>
      </c>
      <c r="H140" s="58" t="s">
        <v>50</v>
      </c>
    </row>
    <row r="141" spans="1:8" s="1" customFormat="1" x14ac:dyDescent="0.3">
      <c r="A141" s="25" t="s">
        <v>71</v>
      </c>
      <c r="B141" s="15" t="s">
        <v>72</v>
      </c>
      <c r="C141" s="15">
        <v>6</v>
      </c>
      <c r="D141" s="171">
        <f>C141/34</f>
        <v>0.17647058823529413</v>
      </c>
      <c r="E141" s="88"/>
      <c r="F141" s="25" t="s">
        <v>72</v>
      </c>
      <c r="G141" s="15">
        <v>15</v>
      </c>
      <c r="H141" s="171">
        <f t="shared" ref="H141:H145" si="13">G141/34</f>
        <v>0.44117647058823528</v>
      </c>
    </row>
    <row r="142" spans="1:8" x14ac:dyDescent="0.3">
      <c r="A142" s="25" t="s">
        <v>75</v>
      </c>
      <c r="B142" s="15" t="s">
        <v>72</v>
      </c>
      <c r="C142" s="15">
        <v>7</v>
      </c>
      <c r="D142" s="171">
        <f t="shared" ref="D142:D151" si="14">C142/34</f>
        <v>0.20588235294117646</v>
      </c>
      <c r="F142" s="25" t="s">
        <v>76</v>
      </c>
      <c r="G142" s="15">
        <v>3</v>
      </c>
      <c r="H142" s="171">
        <f t="shared" si="13"/>
        <v>8.8235294117647065E-2</v>
      </c>
    </row>
    <row r="143" spans="1:8" x14ac:dyDescent="0.3">
      <c r="A143" s="25" t="s">
        <v>77</v>
      </c>
      <c r="B143" s="15" t="s">
        <v>72</v>
      </c>
      <c r="C143" s="15">
        <v>2</v>
      </c>
      <c r="D143" s="171">
        <f t="shared" si="14"/>
        <v>5.8823529411764705E-2</v>
      </c>
      <c r="F143" s="25" t="s">
        <v>78</v>
      </c>
      <c r="G143" s="15">
        <v>1</v>
      </c>
      <c r="H143" s="171">
        <f t="shared" si="13"/>
        <v>2.9411764705882353E-2</v>
      </c>
    </row>
    <row r="144" spans="1:8" x14ac:dyDescent="0.3">
      <c r="A144" s="25" t="s">
        <v>85</v>
      </c>
      <c r="B144" s="15" t="s">
        <v>76</v>
      </c>
      <c r="C144" s="15">
        <v>1</v>
      </c>
      <c r="D144" s="171">
        <f t="shared" si="14"/>
        <v>2.9411764705882353E-2</v>
      </c>
      <c r="F144" s="25" t="s">
        <v>79</v>
      </c>
      <c r="G144" s="15">
        <v>4</v>
      </c>
      <c r="H144" s="171">
        <f t="shared" si="13"/>
        <v>0.11764705882352941</v>
      </c>
    </row>
    <row r="145" spans="1:8" ht="14.5" thickBot="1" x14ac:dyDescent="0.35">
      <c r="A145" s="25" t="s">
        <v>86</v>
      </c>
      <c r="B145" s="15" t="s">
        <v>76</v>
      </c>
      <c r="C145" s="15">
        <v>2</v>
      </c>
      <c r="D145" s="171">
        <f t="shared" si="14"/>
        <v>5.8823529411764705E-2</v>
      </c>
      <c r="F145" s="34" t="s">
        <v>81</v>
      </c>
      <c r="G145" s="24">
        <v>11</v>
      </c>
      <c r="H145" s="228">
        <f t="shared" si="13"/>
        <v>0.3235294117647059</v>
      </c>
    </row>
    <row r="146" spans="1:8" x14ac:dyDescent="0.3">
      <c r="A146" s="25" t="s">
        <v>96</v>
      </c>
      <c r="B146" s="15" t="s">
        <v>78</v>
      </c>
      <c r="C146" s="15">
        <v>1</v>
      </c>
      <c r="D146" s="171">
        <f t="shared" si="14"/>
        <v>2.9411764705882353E-2</v>
      </c>
      <c r="F146" s="37"/>
      <c r="H146" s="17"/>
    </row>
    <row r="147" spans="1:8" x14ac:dyDescent="0.3">
      <c r="A147" s="25" t="s">
        <v>100</v>
      </c>
      <c r="B147" s="15" t="s">
        <v>79</v>
      </c>
      <c r="C147" s="15">
        <v>2</v>
      </c>
      <c r="D147" s="171">
        <f t="shared" si="14"/>
        <v>5.8823529411764705E-2</v>
      </c>
    </row>
    <row r="148" spans="1:8" x14ac:dyDescent="0.3">
      <c r="A148" s="25" t="s">
        <v>103</v>
      </c>
      <c r="B148" s="15" t="s">
        <v>79</v>
      </c>
      <c r="C148" s="15">
        <v>2</v>
      </c>
      <c r="D148" s="171">
        <f t="shared" si="14"/>
        <v>5.8823529411764705E-2</v>
      </c>
    </row>
    <row r="149" spans="1:8" x14ac:dyDescent="0.3">
      <c r="A149" s="25" t="s">
        <v>138</v>
      </c>
      <c r="B149" s="15" t="s">
        <v>81</v>
      </c>
      <c r="C149" s="15">
        <v>1</v>
      </c>
      <c r="D149" s="171">
        <f t="shared" si="14"/>
        <v>2.9411764705882353E-2</v>
      </c>
    </row>
    <row r="150" spans="1:8" x14ac:dyDescent="0.3">
      <c r="A150" s="25" t="s">
        <v>106</v>
      </c>
      <c r="B150" s="15" t="s">
        <v>81</v>
      </c>
      <c r="C150" s="15">
        <v>3</v>
      </c>
      <c r="D150" s="171">
        <f t="shared" si="14"/>
        <v>8.8235294117647065E-2</v>
      </c>
    </row>
    <row r="151" spans="1:8" ht="14.5" thickBot="1" x14ac:dyDescent="0.35">
      <c r="A151" s="34" t="s">
        <v>107</v>
      </c>
      <c r="B151" s="24" t="s">
        <v>81</v>
      </c>
      <c r="C151" s="24">
        <v>7</v>
      </c>
      <c r="D151" s="228">
        <f t="shared" si="14"/>
        <v>0.20588235294117646</v>
      </c>
    </row>
    <row r="152" spans="1:8" x14ac:dyDescent="0.3">
      <c r="A152" s="37"/>
      <c r="B152" s="37"/>
      <c r="C152" s="37"/>
      <c r="D152" s="229"/>
    </row>
    <row r="153" spans="1:8" x14ac:dyDescent="0.3">
      <c r="A153" s="37"/>
      <c r="B153" s="37"/>
      <c r="C153" s="37"/>
      <c r="D153" s="229"/>
    </row>
    <row r="154" spans="1:8" x14ac:dyDescent="0.3">
      <c r="A154" s="37"/>
      <c r="B154" s="37"/>
      <c r="C154" s="37"/>
      <c r="D154" s="229"/>
    </row>
    <row r="155" spans="1:8" x14ac:dyDescent="0.3">
      <c r="A155" s="37"/>
      <c r="B155" s="37"/>
      <c r="C155" s="37"/>
      <c r="D155" s="229"/>
    </row>
    <row r="156" spans="1:8" x14ac:dyDescent="0.3">
      <c r="A156" s="37"/>
      <c r="B156" s="37"/>
      <c r="C156" s="37"/>
      <c r="D156" s="229"/>
    </row>
    <row r="157" spans="1:8" x14ac:dyDescent="0.3">
      <c r="A157" s="37"/>
      <c r="B157" s="37"/>
      <c r="C157" s="37"/>
      <c r="D157" s="229"/>
    </row>
    <row r="158" spans="1:8" x14ac:dyDescent="0.3">
      <c r="A158" s="37"/>
      <c r="B158" s="37"/>
      <c r="C158" s="37"/>
      <c r="D158" s="229"/>
    </row>
    <row r="159" spans="1:8" x14ac:dyDescent="0.3">
      <c r="A159" s="37"/>
      <c r="B159" s="37"/>
      <c r="C159" s="37"/>
      <c r="D159" s="229"/>
    </row>
    <row r="160" spans="1:8" x14ac:dyDescent="0.3">
      <c r="A160" s="37"/>
      <c r="B160" s="37"/>
      <c r="C160" s="37"/>
      <c r="D160" s="229"/>
    </row>
    <row r="161" spans="1:8" x14ac:dyDescent="0.3">
      <c r="A161" s="37"/>
      <c r="B161" s="37"/>
      <c r="C161" s="37"/>
      <c r="D161" s="229"/>
    </row>
    <row r="162" spans="1:8" x14ac:dyDescent="0.3">
      <c r="A162" s="37"/>
      <c r="B162" s="37"/>
      <c r="C162" s="37"/>
      <c r="D162" s="229"/>
    </row>
    <row r="163" spans="1:8" x14ac:dyDescent="0.3">
      <c r="A163" s="37"/>
      <c r="C163" s="17"/>
    </row>
    <row r="164" spans="1:8" x14ac:dyDescent="0.3">
      <c r="A164" s="37"/>
      <c r="C164" s="17"/>
    </row>
    <row r="165" spans="1:8" ht="14.5" thickBot="1" x14ac:dyDescent="0.35">
      <c r="D165" s="14"/>
      <c r="F165" s="14"/>
    </row>
    <row r="166" spans="1:8" s="1" customFormat="1" x14ac:dyDescent="0.3">
      <c r="A166" s="8" t="s">
        <v>119</v>
      </c>
      <c r="B166" s="73" t="s">
        <v>68</v>
      </c>
      <c r="C166" s="9" t="s">
        <v>49</v>
      </c>
      <c r="D166" s="57" t="s">
        <v>50</v>
      </c>
      <c r="E166" s="13"/>
      <c r="F166" s="163" t="s">
        <v>120</v>
      </c>
      <c r="G166" s="9" t="s">
        <v>114</v>
      </c>
      <c r="H166" s="58" t="s">
        <v>50</v>
      </c>
    </row>
    <row r="167" spans="1:8" ht="14.5" thickBot="1" x14ac:dyDescent="0.35">
      <c r="A167" s="34" t="s">
        <v>154</v>
      </c>
      <c r="B167" s="34" t="s">
        <v>154</v>
      </c>
      <c r="C167" s="34" t="s">
        <v>154</v>
      </c>
      <c r="D167" s="230" t="s">
        <v>154</v>
      </c>
      <c r="E167" s="1"/>
      <c r="F167" s="34" t="s">
        <v>154</v>
      </c>
      <c r="G167" s="34" t="s">
        <v>154</v>
      </c>
      <c r="H167" s="230" t="s">
        <v>154</v>
      </c>
    </row>
    <row r="168" spans="1:8" x14ac:dyDescent="0.3">
      <c r="A168" s="45"/>
      <c r="B168" s="45"/>
      <c r="C168" s="45"/>
      <c r="E168" s="44"/>
    </row>
    <row r="169" spans="1:8" x14ac:dyDescent="0.3">
      <c r="A169" s="45"/>
      <c r="B169" s="45"/>
      <c r="C169" s="45"/>
      <c r="E169" s="45"/>
    </row>
    <row r="170" spans="1:8" ht="14.5" thickBot="1" x14ac:dyDescent="0.35">
      <c r="E170" s="45"/>
    </row>
    <row r="171" spans="1:8" s="1" customFormat="1" ht="11.65" customHeight="1" x14ac:dyDescent="0.3">
      <c r="A171" s="8" t="s">
        <v>126</v>
      </c>
      <c r="B171" s="9" t="s">
        <v>68</v>
      </c>
      <c r="C171" s="9" t="s">
        <v>49</v>
      </c>
      <c r="D171" s="58" t="s">
        <v>50</v>
      </c>
      <c r="E171" s="45"/>
      <c r="F171" s="163" t="s">
        <v>127</v>
      </c>
      <c r="G171" s="9" t="s">
        <v>114</v>
      </c>
      <c r="H171" s="58" t="s">
        <v>50</v>
      </c>
    </row>
    <row r="172" spans="1:8" x14ac:dyDescent="0.3">
      <c r="A172" s="25" t="s">
        <v>97</v>
      </c>
      <c r="B172" s="15" t="s">
        <v>79</v>
      </c>
      <c r="C172" s="15">
        <v>5</v>
      </c>
      <c r="D172" s="171">
        <f>C172/23</f>
        <v>0.21739130434782608</v>
      </c>
      <c r="E172" s="1"/>
      <c r="F172" s="25" t="s">
        <v>72</v>
      </c>
      <c r="G172" s="15">
        <v>3</v>
      </c>
      <c r="H172" s="171">
        <f t="shared" ref="H172:H176" si="15">G172/23</f>
        <v>0.13043478260869565</v>
      </c>
    </row>
    <row r="173" spans="1:8" x14ac:dyDescent="0.3">
      <c r="A173" s="25" t="s">
        <v>87</v>
      </c>
      <c r="B173" s="15" t="s">
        <v>76</v>
      </c>
      <c r="C173" s="15">
        <v>1</v>
      </c>
      <c r="D173" s="171">
        <f t="shared" ref="D173:D183" si="16">C173/23</f>
        <v>4.3478260869565216E-2</v>
      </c>
      <c r="F173" s="25" t="s">
        <v>76</v>
      </c>
      <c r="G173" s="15">
        <v>5</v>
      </c>
      <c r="H173" s="171">
        <f t="shared" si="15"/>
        <v>0.21739130434782608</v>
      </c>
    </row>
    <row r="174" spans="1:8" x14ac:dyDescent="0.3">
      <c r="A174" s="25" t="s">
        <v>138</v>
      </c>
      <c r="B174" s="15" t="s">
        <v>81</v>
      </c>
      <c r="C174" s="15">
        <v>1</v>
      </c>
      <c r="D174" s="171">
        <f t="shared" si="16"/>
        <v>4.3478260869565216E-2</v>
      </c>
      <c r="F174" s="25" t="s">
        <v>78</v>
      </c>
      <c r="G174" s="15">
        <v>2</v>
      </c>
      <c r="H174" s="171">
        <f t="shared" si="15"/>
        <v>8.6956521739130432E-2</v>
      </c>
    </row>
    <row r="175" spans="1:8" x14ac:dyDescent="0.3">
      <c r="A175" s="25" t="s">
        <v>73</v>
      </c>
      <c r="B175" s="15" t="s">
        <v>72</v>
      </c>
      <c r="C175" s="15">
        <v>2</v>
      </c>
      <c r="D175" s="171">
        <f t="shared" si="16"/>
        <v>8.6956521739130432E-2</v>
      </c>
      <c r="F175" s="25" t="s">
        <v>79</v>
      </c>
      <c r="G175" s="15">
        <v>10</v>
      </c>
      <c r="H175" s="171">
        <f t="shared" si="15"/>
        <v>0.43478260869565216</v>
      </c>
    </row>
    <row r="176" spans="1:8" ht="14.5" thickBot="1" x14ac:dyDescent="0.35">
      <c r="A176" s="25" t="s">
        <v>95</v>
      </c>
      <c r="B176" s="15" t="s">
        <v>78</v>
      </c>
      <c r="C176" s="15">
        <v>2</v>
      </c>
      <c r="D176" s="171">
        <f t="shared" si="16"/>
        <v>8.6956521739130432E-2</v>
      </c>
      <c r="F176" s="34" t="s">
        <v>81</v>
      </c>
      <c r="G176" s="24">
        <v>3</v>
      </c>
      <c r="H176" s="228">
        <f t="shared" si="15"/>
        <v>0.13043478260869565</v>
      </c>
    </row>
    <row r="177" spans="1:8" x14ac:dyDescent="0.3">
      <c r="A177" s="25" t="s">
        <v>100</v>
      </c>
      <c r="B177" s="15" t="s">
        <v>79</v>
      </c>
      <c r="C177" s="15">
        <v>2</v>
      </c>
      <c r="D177" s="171">
        <f t="shared" si="16"/>
        <v>8.6956521739130432E-2</v>
      </c>
      <c r="F177" s="37"/>
      <c r="H177" s="17"/>
    </row>
    <row r="178" spans="1:8" x14ac:dyDescent="0.3">
      <c r="A178" s="25" t="s">
        <v>102</v>
      </c>
      <c r="B178" s="15" t="s">
        <v>79</v>
      </c>
      <c r="C178" s="15">
        <v>1</v>
      </c>
      <c r="D178" s="171">
        <f t="shared" si="16"/>
        <v>4.3478260869565216E-2</v>
      </c>
      <c r="E178" s="44"/>
    </row>
    <row r="179" spans="1:8" x14ac:dyDescent="0.3">
      <c r="A179" s="25" t="s">
        <v>75</v>
      </c>
      <c r="B179" s="15" t="s">
        <v>72</v>
      </c>
      <c r="C179" s="15">
        <v>1</v>
      </c>
      <c r="D179" s="171">
        <f t="shared" si="16"/>
        <v>4.3478260869565216E-2</v>
      </c>
      <c r="E179" s="45"/>
    </row>
    <row r="180" spans="1:8" x14ac:dyDescent="0.3">
      <c r="A180" s="25" t="s">
        <v>107</v>
      </c>
      <c r="B180" s="15" t="s">
        <v>81</v>
      </c>
      <c r="C180" s="15">
        <v>2</v>
      </c>
      <c r="D180" s="171">
        <f t="shared" si="16"/>
        <v>8.6956521739130432E-2</v>
      </c>
      <c r="E180" s="45"/>
    </row>
    <row r="181" spans="1:8" x14ac:dyDescent="0.3">
      <c r="A181" s="25" t="s">
        <v>90</v>
      </c>
      <c r="B181" s="15" t="s">
        <v>76</v>
      </c>
      <c r="C181" s="15">
        <v>3</v>
      </c>
      <c r="D181" s="171">
        <f t="shared" si="16"/>
        <v>0.13043478260869565</v>
      </c>
      <c r="E181" s="45"/>
    </row>
    <row r="182" spans="1:8" x14ac:dyDescent="0.3">
      <c r="A182" s="25" t="s">
        <v>103</v>
      </c>
      <c r="B182" s="15" t="s">
        <v>79</v>
      </c>
      <c r="C182" s="15">
        <v>2</v>
      </c>
      <c r="D182" s="171">
        <f t="shared" si="16"/>
        <v>8.6956521739130432E-2</v>
      </c>
      <c r="E182" s="45"/>
    </row>
    <row r="183" spans="1:8" x14ac:dyDescent="0.3">
      <c r="A183" s="25" t="s">
        <v>92</v>
      </c>
      <c r="B183" s="15" t="s">
        <v>76</v>
      </c>
      <c r="C183" s="15">
        <v>1</v>
      </c>
      <c r="D183" s="171">
        <f t="shared" si="16"/>
        <v>4.3478260869565216E-2</v>
      </c>
      <c r="E183" s="45"/>
    </row>
    <row r="184" spans="1:8" ht="14.5" thickBot="1" x14ac:dyDescent="0.35">
      <c r="A184" s="34" t="s">
        <v>130</v>
      </c>
      <c r="B184" s="24" t="s">
        <v>125</v>
      </c>
      <c r="C184" s="24">
        <v>1</v>
      </c>
      <c r="D184" s="169" t="s">
        <v>111</v>
      </c>
      <c r="E184" s="45"/>
    </row>
    <row r="185" spans="1:8" x14ac:dyDescent="0.3">
      <c r="A185" s="104"/>
      <c r="B185" s="37"/>
      <c r="E185" s="45"/>
    </row>
    <row r="186" spans="1:8" x14ac:dyDescent="0.3">
      <c r="A186" s="104"/>
      <c r="E186" s="45"/>
    </row>
    <row r="187" spans="1:8" x14ac:dyDescent="0.3">
      <c r="A187" s="104"/>
      <c r="E187" s="45"/>
    </row>
    <row r="188" spans="1:8" x14ac:dyDescent="0.3">
      <c r="A188" s="104"/>
      <c r="E188" s="45"/>
    </row>
    <row r="189" spans="1:8" x14ac:dyDescent="0.3">
      <c r="A189" s="104"/>
      <c r="E189" s="45"/>
    </row>
    <row r="190" spans="1:8" x14ac:dyDescent="0.3">
      <c r="A190" s="104"/>
      <c r="E190" s="45"/>
    </row>
    <row r="191" spans="1:8" x14ac:dyDescent="0.3">
      <c r="A191" s="104"/>
      <c r="E191" s="45"/>
    </row>
    <row r="192" spans="1:8" x14ac:dyDescent="0.3">
      <c r="A192" s="104"/>
      <c r="E192" s="45"/>
    </row>
    <row r="193" spans="1:9" x14ac:dyDescent="0.3">
      <c r="A193" s="104"/>
      <c r="E193" s="45"/>
    </row>
    <row r="194" spans="1:9" x14ac:dyDescent="0.3">
      <c r="A194" s="104"/>
      <c r="E194" s="45"/>
    </row>
    <row r="195" spans="1:9" x14ac:dyDescent="0.3">
      <c r="A195" s="104"/>
      <c r="E195" s="45"/>
    </row>
    <row r="196" spans="1:9" x14ac:dyDescent="0.3">
      <c r="A196" s="104"/>
      <c r="E196" s="45"/>
    </row>
    <row r="197" spans="1:9" ht="14.5" thickBot="1" x14ac:dyDescent="0.35">
      <c r="A197" s="104"/>
      <c r="E197" s="45"/>
      <c r="F197" s="14"/>
    </row>
    <row r="198" spans="1:9" x14ac:dyDescent="0.3">
      <c r="A198" s="8" t="s">
        <v>131</v>
      </c>
      <c r="B198" s="231" t="s">
        <v>68</v>
      </c>
      <c r="C198" s="9" t="s">
        <v>49</v>
      </c>
      <c r="D198" s="89" t="s">
        <v>50</v>
      </c>
      <c r="E198" s="45"/>
      <c r="F198" s="163" t="s">
        <v>132</v>
      </c>
      <c r="G198" s="9" t="s">
        <v>114</v>
      </c>
      <c r="H198" s="58" t="s">
        <v>50</v>
      </c>
    </row>
    <row r="199" spans="1:9" x14ac:dyDescent="0.3">
      <c r="A199" s="25" t="s">
        <v>71</v>
      </c>
      <c r="B199" s="15" t="s">
        <v>72</v>
      </c>
      <c r="C199" s="15">
        <v>6</v>
      </c>
      <c r="D199" s="171">
        <f>C199/12</f>
        <v>0.5</v>
      </c>
      <c r="F199" s="25" t="s">
        <v>72</v>
      </c>
      <c r="G199" s="15">
        <v>9</v>
      </c>
      <c r="H199" s="171">
        <f t="shared" ref="H199:H201" si="17">G199/12</f>
        <v>0.75</v>
      </c>
      <c r="I199" s="1"/>
    </row>
    <row r="200" spans="1:9" s="1" customFormat="1" x14ac:dyDescent="0.3">
      <c r="A200" s="25" t="s">
        <v>99</v>
      </c>
      <c r="B200" s="15" t="s">
        <v>79</v>
      </c>
      <c r="C200" s="15">
        <v>1</v>
      </c>
      <c r="D200" s="171">
        <f t="shared" ref="D200:D203" si="18">C200/12</f>
        <v>8.3333333333333329E-2</v>
      </c>
      <c r="E200" s="13"/>
      <c r="F200" s="25" t="s">
        <v>76</v>
      </c>
      <c r="G200" s="15">
        <v>1</v>
      </c>
      <c r="H200" s="171">
        <f t="shared" si="17"/>
        <v>8.3333333333333329E-2</v>
      </c>
      <c r="I200" s="13"/>
    </row>
    <row r="201" spans="1:9" x14ac:dyDescent="0.3">
      <c r="A201" s="25" t="s">
        <v>102</v>
      </c>
      <c r="B201" s="15" t="s">
        <v>79</v>
      </c>
      <c r="C201" s="15">
        <v>1</v>
      </c>
      <c r="D201" s="171">
        <f t="shared" si="18"/>
        <v>8.3333333333333329E-2</v>
      </c>
      <c r="F201" s="25" t="s">
        <v>79</v>
      </c>
      <c r="G201" s="15">
        <v>2</v>
      </c>
      <c r="H201" s="171">
        <f t="shared" si="17"/>
        <v>0.16666666666666666</v>
      </c>
    </row>
    <row r="202" spans="1:9" x14ac:dyDescent="0.3">
      <c r="A202" s="25" t="s">
        <v>75</v>
      </c>
      <c r="B202" s="15" t="s">
        <v>72</v>
      </c>
      <c r="C202" s="15">
        <v>3</v>
      </c>
      <c r="D202" s="171">
        <f t="shared" si="18"/>
        <v>0.25</v>
      </c>
      <c r="F202" s="37"/>
      <c r="H202" s="17"/>
    </row>
    <row r="203" spans="1:9" x14ac:dyDescent="0.3">
      <c r="A203" s="25" t="s">
        <v>155</v>
      </c>
      <c r="B203" s="15" t="s">
        <v>76</v>
      </c>
      <c r="C203" s="15">
        <v>1</v>
      </c>
      <c r="D203" s="171">
        <f t="shared" si="18"/>
        <v>8.3333333333333329E-2</v>
      </c>
    </row>
    <row r="204" spans="1:9" ht="14.5" thickBot="1" x14ac:dyDescent="0.35">
      <c r="A204" s="34" t="s">
        <v>130</v>
      </c>
      <c r="B204" s="24" t="s">
        <v>125</v>
      </c>
      <c r="C204" s="15">
        <v>1</v>
      </c>
      <c r="D204" s="169" t="s">
        <v>111</v>
      </c>
    </row>
    <row r="206" spans="1:9" x14ac:dyDescent="0.3">
      <c r="E206" s="44"/>
    </row>
    <row r="207" spans="1:9" x14ac:dyDescent="0.3">
      <c r="E207" s="45"/>
    </row>
  </sheetData>
  <sheetProtection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E5147-D432-481B-8C57-4E63ED8A0BAC}">
  <sheetPr>
    <tabColor theme="4" tint="0.59999389629810485"/>
  </sheetPr>
  <dimension ref="A1:D36"/>
  <sheetViews>
    <sheetView zoomScale="75" zoomScaleNormal="75" workbookViewId="0">
      <pane ySplit="2" topLeftCell="A3" activePane="bottomLeft" state="frozen"/>
      <selection activeCell="B15" sqref="B15"/>
      <selection pane="bottomLeft" activeCell="B15" sqref="B15"/>
    </sheetView>
  </sheetViews>
  <sheetFormatPr defaultRowHeight="14.5" x14ac:dyDescent="0.35"/>
  <cols>
    <col min="1" max="1" width="62.81640625" customWidth="1"/>
    <col min="2" max="2" width="100.26953125" bestFit="1" customWidth="1"/>
    <col min="3" max="3" width="34.1796875" bestFit="1" customWidth="1"/>
    <col min="4" max="4" width="117.54296875" bestFit="1" customWidth="1"/>
  </cols>
  <sheetData>
    <row r="1" spans="1:4" ht="20.5" thickBot="1" x14ac:dyDescent="0.45">
      <c r="A1" s="243" t="s">
        <v>156</v>
      </c>
    </row>
    <row r="2" spans="1:4" x14ac:dyDescent="0.35">
      <c r="A2" s="244" t="s">
        <v>157</v>
      </c>
      <c r="B2" s="245" t="s">
        <v>158</v>
      </c>
      <c r="C2" s="246" t="s">
        <v>159</v>
      </c>
      <c r="D2" s="247" t="s">
        <v>160</v>
      </c>
    </row>
    <row r="3" spans="1:4" x14ac:dyDescent="0.35">
      <c r="A3" s="25" t="s">
        <v>71</v>
      </c>
      <c r="B3" s="36" t="s">
        <v>161</v>
      </c>
      <c r="C3" s="54" t="s">
        <v>72</v>
      </c>
      <c r="D3" s="69" t="s">
        <v>162</v>
      </c>
    </row>
    <row r="4" spans="1:4" x14ac:dyDescent="0.35">
      <c r="A4" s="25" t="s">
        <v>73</v>
      </c>
      <c r="B4" s="36" t="s">
        <v>111</v>
      </c>
      <c r="C4" s="54" t="s">
        <v>72</v>
      </c>
      <c r="D4" s="69" t="s">
        <v>162</v>
      </c>
    </row>
    <row r="5" spans="1:4" x14ac:dyDescent="0.35">
      <c r="A5" s="25" t="s">
        <v>75</v>
      </c>
      <c r="B5" s="36" t="s">
        <v>163</v>
      </c>
      <c r="C5" s="54" t="s">
        <v>72</v>
      </c>
      <c r="D5" s="69" t="s">
        <v>162</v>
      </c>
    </row>
    <row r="6" spans="1:4" x14ac:dyDescent="0.35">
      <c r="A6" s="25" t="s">
        <v>77</v>
      </c>
      <c r="B6" s="36" t="s">
        <v>111</v>
      </c>
      <c r="C6" s="54" t="s">
        <v>72</v>
      </c>
      <c r="D6" s="69" t="s">
        <v>162</v>
      </c>
    </row>
    <row r="7" spans="1:4" x14ac:dyDescent="0.35">
      <c r="A7" s="25" t="s">
        <v>74</v>
      </c>
      <c r="B7" s="36" t="s">
        <v>111</v>
      </c>
      <c r="C7" s="54" t="s">
        <v>74</v>
      </c>
      <c r="D7" s="86" t="s">
        <v>164</v>
      </c>
    </row>
    <row r="8" spans="1:4" x14ac:dyDescent="0.35">
      <c r="A8" s="25" t="s">
        <v>80</v>
      </c>
      <c r="B8" s="36" t="s">
        <v>165</v>
      </c>
      <c r="C8" s="54" t="s">
        <v>76</v>
      </c>
      <c r="D8" s="86" t="s">
        <v>166</v>
      </c>
    </row>
    <row r="9" spans="1:4" x14ac:dyDescent="0.35">
      <c r="A9" s="25" t="s">
        <v>82</v>
      </c>
      <c r="B9" s="36" t="s">
        <v>165</v>
      </c>
      <c r="C9" s="54" t="s">
        <v>76</v>
      </c>
      <c r="D9" s="86" t="s">
        <v>166</v>
      </c>
    </row>
    <row r="10" spans="1:4" x14ac:dyDescent="0.35">
      <c r="A10" s="25" t="s">
        <v>83</v>
      </c>
      <c r="B10" s="36" t="s">
        <v>165</v>
      </c>
      <c r="C10" s="54" t="s">
        <v>76</v>
      </c>
      <c r="D10" s="86" t="s">
        <v>166</v>
      </c>
    </row>
    <row r="11" spans="1:4" x14ac:dyDescent="0.35">
      <c r="A11" s="25" t="s">
        <v>84</v>
      </c>
      <c r="B11" s="36" t="s">
        <v>165</v>
      </c>
      <c r="C11" s="54" t="s">
        <v>76</v>
      </c>
      <c r="D11" s="86" t="s">
        <v>166</v>
      </c>
    </row>
    <row r="12" spans="1:4" x14ac:dyDescent="0.35">
      <c r="A12" s="25" t="s">
        <v>85</v>
      </c>
      <c r="B12" s="36" t="s">
        <v>165</v>
      </c>
      <c r="C12" s="54" t="s">
        <v>76</v>
      </c>
      <c r="D12" s="86" t="s">
        <v>166</v>
      </c>
    </row>
    <row r="13" spans="1:4" x14ac:dyDescent="0.35">
      <c r="A13" s="25" t="s">
        <v>86</v>
      </c>
      <c r="B13" s="36" t="s">
        <v>165</v>
      </c>
      <c r="C13" s="54" t="s">
        <v>76</v>
      </c>
      <c r="D13" s="86" t="s">
        <v>166</v>
      </c>
    </row>
    <row r="14" spans="1:4" x14ac:dyDescent="0.35">
      <c r="A14" s="25" t="s">
        <v>87</v>
      </c>
      <c r="B14" s="36" t="s">
        <v>111</v>
      </c>
      <c r="C14" s="54" t="s">
        <v>76</v>
      </c>
      <c r="D14" s="86" t="s">
        <v>167</v>
      </c>
    </row>
    <row r="15" spans="1:4" x14ac:dyDescent="0.35">
      <c r="A15" s="25" t="s">
        <v>88</v>
      </c>
      <c r="B15" s="36" t="s">
        <v>111</v>
      </c>
      <c r="C15" s="54" t="s">
        <v>76</v>
      </c>
      <c r="D15" s="86" t="s">
        <v>167</v>
      </c>
    </row>
    <row r="16" spans="1:4" x14ac:dyDescent="0.35">
      <c r="A16" s="25" t="s">
        <v>89</v>
      </c>
      <c r="B16" s="36" t="s">
        <v>165</v>
      </c>
      <c r="C16" s="54" t="s">
        <v>76</v>
      </c>
      <c r="D16" s="86" t="s">
        <v>166</v>
      </c>
    </row>
    <row r="17" spans="1:4" x14ac:dyDescent="0.35">
      <c r="A17" s="25" t="s">
        <v>90</v>
      </c>
      <c r="B17" s="36" t="s">
        <v>111</v>
      </c>
      <c r="C17" s="54" t="s">
        <v>76</v>
      </c>
      <c r="D17" s="86" t="s">
        <v>111</v>
      </c>
    </row>
    <row r="18" spans="1:4" x14ac:dyDescent="0.35">
      <c r="A18" s="25" t="s">
        <v>91</v>
      </c>
      <c r="B18" s="36" t="s">
        <v>111</v>
      </c>
      <c r="C18" s="54" t="s">
        <v>76</v>
      </c>
      <c r="D18" s="86" t="s">
        <v>111</v>
      </c>
    </row>
    <row r="19" spans="1:4" x14ac:dyDescent="0.35">
      <c r="A19" s="25" t="s">
        <v>92</v>
      </c>
      <c r="B19" s="36" t="s">
        <v>168</v>
      </c>
      <c r="C19" s="54" t="s">
        <v>76</v>
      </c>
      <c r="D19" s="86" t="s">
        <v>166</v>
      </c>
    </row>
    <row r="20" spans="1:4" x14ac:dyDescent="0.35">
      <c r="A20" s="25" t="s">
        <v>93</v>
      </c>
      <c r="B20" s="36" t="s">
        <v>169</v>
      </c>
      <c r="C20" s="54" t="s">
        <v>76</v>
      </c>
      <c r="D20" s="86" t="s">
        <v>170</v>
      </c>
    </row>
    <row r="21" spans="1:4" x14ac:dyDescent="0.35">
      <c r="A21" s="25" t="s">
        <v>94</v>
      </c>
      <c r="B21" s="36" t="s">
        <v>111</v>
      </c>
      <c r="C21" s="54" t="s">
        <v>78</v>
      </c>
      <c r="D21" s="86" t="s">
        <v>171</v>
      </c>
    </row>
    <row r="22" spans="1:4" x14ac:dyDescent="0.35">
      <c r="A22" s="25" t="s">
        <v>95</v>
      </c>
      <c r="B22" s="36" t="s">
        <v>111</v>
      </c>
      <c r="C22" s="54" t="s">
        <v>78</v>
      </c>
      <c r="D22" s="86" t="s">
        <v>172</v>
      </c>
    </row>
    <row r="23" spans="1:4" x14ac:dyDescent="0.35">
      <c r="A23" s="25" t="s">
        <v>96</v>
      </c>
      <c r="B23" s="36" t="s">
        <v>111</v>
      </c>
      <c r="C23" s="54" t="s">
        <v>78</v>
      </c>
      <c r="D23" s="86" t="s">
        <v>173</v>
      </c>
    </row>
    <row r="24" spans="1:4" x14ac:dyDescent="0.35">
      <c r="A24" s="25" t="s">
        <v>97</v>
      </c>
      <c r="B24" s="36" t="s">
        <v>111</v>
      </c>
      <c r="C24" s="54" t="s">
        <v>79</v>
      </c>
      <c r="D24" s="86" t="s">
        <v>111</v>
      </c>
    </row>
    <row r="25" spans="1:4" x14ac:dyDescent="0.35">
      <c r="A25" s="25" t="s">
        <v>98</v>
      </c>
      <c r="B25" s="36" t="s">
        <v>111</v>
      </c>
      <c r="C25" s="54" t="s">
        <v>79</v>
      </c>
      <c r="D25" s="86" t="s">
        <v>111</v>
      </c>
    </row>
    <row r="26" spans="1:4" x14ac:dyDescent="0.35">
      <c r="A26" s="25" t="s">
        <v>99</v>
      </c>
      <c r="B26" s="36" t="s">
        <v>111</v>
      </c>
      <c r="C26" s="54" t="s">
        <v>79</v>
      </c>
      <c r="D26" s="86" t="s">
        <v>111</v>
      </c>
    </row>
    <row r="27" spans="1:4" x14ac:dyDescent="0.35">
      <c r="A27" s="25" t="s">
        <v>100</v>
      </c>
      <c r="B27" s="36" t="s">
        <v>111</v>
      </c>
      <c r="C27" s="54" t="s">
        <v>79</v>
      </c>
      <c r="D27" s="86" t="s">
        <v>174</v>
      </c>
    </row>
    <row r="28" spans="1:4" x14ac:dyDescent="0.35">
      <c r="A28" s="25" t="s">
        <v>101</v>
      </c>
      <c r="B28" s="36" t="s">
        <v>111</v>
      </c>
      <c r="C28" s="54" t="s">
        <v>79</v>
      </c>
      <c r="D28" s="86" t="s">
        <v>111</v>
      </c>
    </row>
    <row r="29" spans="1:4" x14ac:dyDescent="0.35">
      <c r="A29" s="25" t="s">
        <v>102</v>
      </c>
      <c r="B29" s="36" t="s">
        <v>111</v>
      </c>
      <c r="C29" s="54" t="s">
        <v>79</v>
      </c>
      <c r="D29" s="86" t="s">
        <v>175</v>
      </c>
    </row>
    <row r="30" spans="1:4" x14ac:dyDescent="0.35">
      <c r="A30" s="25" t="s">
        <v>103</v>
      </c>
      <c r="B30" s="36" t="s">
        <v>111</v>
      </c>
      <c r="C30" s="54" t="s">
        <v>79</v>
      </c>
      <c r="D30" s="86" t="s">
        <v>111</v>
      </c>
    </row>
    <row r="31" spans="1:4" x14ac:dyDescent="0.35">
      <c r="A31" s="25" t="s">
        <v>104</v>
      </c>
      <c r="B31" s="36" t="s">
        <v>111</v>
      </c>
      <c r="C31" s="54" t="s">
        <v>79</v>
      </c>
      <c r="D31" s="86" t="s">
        <v>176</v>
      </c>
    </row>
    <row r="32" spans="1:4" x14ac:dyDescent="0.35">
      <c r="A32" s="25" t="s">
        <v>105</v>
      </c>
      <c r="B32" s="36" t="s">
        <v>177</v>
      </c>
      <c r="C32" s="54" t="s">
        <v>81</v>
      </c>
      <c r="D32" s="86" t="s">
        <v>178</v>
      </c>
    </row>
    <row r="33" spans="1:4" x14ac:dyDescent="0.35">
      <c r="A33" s="25" t="s">
        <v>106</v>
      </c>
      <c r="B33" s="36" t="s">
        <v>111</v>
      </c>
      <c r="C33" s="54" t="s">
        <v>81</v>
      </c>
      <c r="D33" s="86" t="s">
        <v>179</v>
      </c>
    </row>
    <row r="34" spans="1:4" x14ac:dyDescent="0.35">
      <c r="A34" s="25" t="s">
        <v>107</v>
      </c>
      <c r="B34" s="36" t="s">
        <v>180</v>
      </c>
      <c r="C34" s="54" t="s">
        <v>81</v>
      </c>
      <c r="D34" s="86" t="s">
        <v>178</v>
      </c>
    </row>
    <row r="35" spans="1:4" x14ac:dyDescent="0.35">
      <c r="A35" s="25" t="s">
        <v>108</v>
      </c>
      <c r="B35" s="36" t="s">
        <v>181</v>
      </c>
      <c r="C35" s="54" t="s">
        <v>81</v>
      </c>
      <c r="D35" s="86" t="s">
        <v>111</v>
      </c>
    </row>
    <row r="36" spans="1:4" ht="15" thickBot="1" x14ac:dyDescent="0.4">
      <c r="A36" s="34" t="s">
        <v>109</v>
      </c>
      <c r="B36" s="81" t="s">
        <v>182</v>
      </c>
      <c r="C36" s="56" t="s">
        <v>110</v>
      </c>
      <c r="D36" s="142" t="s">
        <v>111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E325-02C4-4DCE-AA0B-06027A9CAEE3}">
  <sheetPr>
    <tabColor theme="3" tint="0.39997558519241921"/>
  </sheetPr>
  <dimension ref="A1:B73"/>
  <sheetViews>
    <sheetView zoomScale="75" zoomScaleNormal="75" workbookViewId="0">
      <pane ySplit="1" topLeftCell="A2" activePane="bottomLeft" state="frozen"/>
      <selection activeCell="B15" sqref="B15"/>
      <selection pane="bottomLeft" activeCell="B15" sqref="B15"/>
    </sheetView>
  </sheetViews>
  <sheetFormatPr defaultRowHeight="14.5" x14ac:dyDescent="0.35"/>
  <cols>
    <col min="1" max="1" width="24.7265625" bestFit="1" customWidth="1"/>
    <col min="2" max="2" width="22.7265625" bestFit="1" customWidth="1"/>
  </cols>
  <sheetData>
    <row r="1" spans="1:2" x14ac:dyDescent="0.35">
      <c r="A1" s="244" t="s">
        <v>183</v>
      </c>
      <c r="B1" s="246" t="s">
        <v>184</v>
      </c>
    </row>
    <row r="2" spans="1:2" x14ac:dyDescent="0.35">
      <c r="A2" s="249" t="s">
        <v>185</v>
      </c>
      <c r="B2" s="249" t="s">
        <v>186</v>
      </c>
    </row>
    <row r="3" spans="1:2" x14ac:dyDescent="0.35">
      <c r="A3" s="249" t="s">
        <v>187</v>
      </c>
      <c r="B3" s="249" t="s">
        <v>186</v>
      </c>
    </row>
    <row r="4" spans="1:2" x14ac:dyDescent="0.35">
      <c r="A4" s="249" t="s">
        <v>188</v>
      </c>
      <c r="B4" s="249" t="s">
        <v>186</v>
      </c>
    </row>
    <row r="5" spans="1:2" x14ac:dyDescent="0.35">
      <c r="A5" s="249" t="s">
        <v>189</v>
      </c>
      <c r="B5" s="249" t="s">
        <v>186</v>
      </c>
    </row>
    <row r="6" spans="1:2" x14ac:dyDescent="0.35">
      <c r="A6" s="249" t="s">
        <v>190</v>
      </c>
      <c r="B6" s="249" t="s">
        <v>186</v>
      </c>
    </row>
    <row r="7" spans="1:2" x14ac:dyDescent="0.35">
      <c r="A7" s="249" t="s">
        <v>191</v>
      </c>
      <c r="B7" s="249" t="s">
        <v>192</v>
      </c>
    </row>
    <row r="8" spans="1:2" x14ac:dyDescent="0.35">
      <c r="A8" s="249" t="s">
        <v>193</v>
      </c>
      <c r="B8" s="249" t="s">
        <v>192</v>
      </c>
    </row>
    <row r="9" spans="1:2" x14ac:dyDescent="0.35">
      <c r="A9" s="249" t="s">
        <v>194</v>
      </c>
      <c r="B9" s="249" t="s">
        <v>192</v>
      </c>
    </row>
    <row r="10" spans="1:2" x14ac:dyDescent="0.35">
      <c r="A10" s="249" t="s">
        <v>195</v>
      </c>
      <c r="B10" s="249" t="s">
        <v>192</v>
      </c>
    </row>
    <row r="11" spans="1:2" x14ac:dyDescent="0.35">
      <c r="A11" s="249" t="s">
        <v>196</v>
      </c>
      <c r="B11" s="249" t="s">
        <v>192</v>
      </c>
    </row>
    <row r="12" spans="1:2" x14ac:dyDescent="0.35">
      <c r="A12" s="249" t="s">
        <v>197</v>
      </c>
      <c r="B12" s="249" t="s">
        <v>198</v>
      </c>
    </row>
    <row r="13" spans="1:2" x14ac:dyDescent="0.35">
      <c r="A13" s="249" t="s">
        <v>199</v>
      </c>
      <c r="B13" s="249" t="s">
        <v>198</v>
      </c>
    </row>
    <row r="14" spans="1:2" x14ac:dyDescent="0.35">
      <c r="A14" s="249" t="s">
        <v>200</v>
      </c>
      <c r="B14" s="249" t="s">
        <v>198</v>
      </c>
    </row>
    <row r="15" spans="1:2" x14ac:dyDescent="0.35">
      <c r="A15" s="249" t="s">
        <v>201</v>
      </c>
      <c r="B15" s="249" t="s">
        <v>198</v>
      </c>
    </row>
    <row r="16" spans="1:2" x14ac:dyDescent="0.35">
      <c r="A16" s="249" t="s">
        <v>202</v>
      </c>
      <c r="B16" s="249" t="s">
        <v>198</v>
      </c>
    </row>
    <row r="17" spans="1:2" x14ac:dyDescent="0.35">
      <c r="A17" s="249" t="s">
        <v>203</v>
      </c>
      <c r="B17" s="249" t="s">
        <v>198</v>
      </c>
    </row>
    <row r="18" spans="1:2" x14ac:dyDescent="0.35">
      <c r="A18" s="249" t="s">
        <v>204</v>
      </c>
      <c r="B18" s="249" t="s">
        <v>198</v>
      </c>
    </row>
    <row r="19" spans="1:2" x14ac:dyDescent="0.35">
      <c r="A19" s="249" t="s">
        <v>205</v>
      </c>
      <c r="B19" s="249" t="s">
        <v>198</v>
      </c>
    </row>
    <row r="20" spans="1:2" x14ac:dyDescent="0.35">
      <c r="A20" s="249" t="s">
        <v>206</v>
      </c>
      <c r="B20" s="249" t="s">
        <v>198</v>
      </c>
    </row>
    <row r="21" spans="1:2" x14ac:dyDescent="0.35">
      <c r="A21" s="249" t="s">
        <v>207</v>
      </c>
      <c r="B21" s="249" t="s">
        <v>198</v>
      </c>
    </row>
    <row r="22" spans="1:2" x14ac:dyDescent="0.35">
      <c r="A22" s="249" t="s">
        <v>208</v>
      </c>
      <c r="B22" s="249" t="s">
        <v>198</v>
      </c>
    </row>
    <row r="23" spans="1:2" x14ac:dyDescent="0.35">
      <c r="A23" s="249" t="s">
        <v>209</v>
      </c>
      <c r="B23" s="249" t="s">
        <v>198</v>
      </c>
    </row>
    <row r="24" spans="1:2" x14ac:dyDescent="0.35">
      <c r="A24" s="249" t="s">
        <v>210</v>
      </c>
      <c r="B24" s="249" t="s">
        <v>198</v>
      </c>
    </row>
    <row r="25" spans="1:2" x14ac:dyDescent="0.35">
      <c r="A25" s="249" t="s">
        <v>211</v>
      </c>
      <c r="B25" s="249" t="s">
        <v>198</v>
      </c>
    </row>
    <row r="26" spans="1:2" x14ac:dyDescent="0.35">
      <c r="A26" s="249" t="s">
        <v>212</v>
      </c>
      <c r="B26" s="249" t="s">
        <v>198</v>
      </c>
    </row>
    <row r="27" spans="1:2" x14ac:dyDescent="0.35">
      <c r="A27" s="249" t="s">
        <v>213</v>
      </c>
      <c r="B27" s="249" t="s">
        <v>198</v>
      </c>
    </row>
    <row r="28" spans="1:2" x14ac:dyDescent="0.35">
      <c r="A28" s="249" t="s">
        <v>214</v>
      </c>
      <c r="B28" s="249" t="s">
        <v>198</v>
      </c>
    </row>
    <row r="29" spans="1:2" x14ac:dyDescent="0.35">
      <c r="A29" s="249" t="s">
        <v>215</v>
      </c>
      <c r="B29" s="249" t="s">
        <v>198</v>
      </c>
    </row>
    <row r="30" spans="1:2" x14ac:dyDescent="0.35">
      <c r="A30" s="249" t="s">
        <v>216</v>
      </c>
      <c r="B30" s="249" t="s">
        <v>198</v>
      </c>
    </row>
    <row r="31" spans="1:2" x14ac:dyDescent="0.35">
      <c r="A31" s="249" t="s">
        <v>217</v>
      </c>
      <c r="B31" s="249" t="s">
        <v>198</v>
      </c>
    </row>
    <row r="32" spans="1:2" x14ac:dyDescent="0.35">
      <c r="A32" s="249" t="s">
        <v>218</v>
      </c>
      <c r="B32" s="249" t="s">
        <v>198</v>
      </c>
    </row>
    <row r="33" spans="1:2" x14ac:dyDescent="0.35">
      <c r="A33" s="249" t="s">
        <v>219</v>
      </c>
      <c r="B33" s="249" t="s">
        <v>198</v>
      </c>
    </row>
    <row r="34" spans="1:2" x14ac:dyDescent="0.35">
      <c r="A34" s="249" t="s">
        <v>220</v>
      </c>
      <c r="B34" s="249" t="s">
        <v>198</v>
      </c>
    </row>
    <row r="35" spans="1:2" x14ac:dyDescent="0.35">
      <c r="A35" s="249" t="s">
        <v>221</v>
      </c>
      <c r="B35" s="249" t="s">
        <v>198</v>
      </c>
    </row>
    <row r="36" spans="1:2" x14ac:dyDescent="0.35">
      <c r="A36" s="249" t="s">
        <v>222</v>
      </c>
      <c r="B36" s="249" t="s">
        <v>198</v>
      </c>
    </row>
    <row r="37" spans="1:2" x14ac:dyDescent="0.35">
      <c r="A37" s="249" t="s">
        <v>223</v>
      </c>
      <c r="B37" s="249" t="s">
        <v>198</v>
      </c>
    </row>
    <row r="38" spans="1:2" x14ac:dyDescent="0.35">
      <c r="A38" s="249" t="s">
        <v>224</v>
      </c>
      <c r="B38" s="249" t="s">
        <v>198</v>
      </c>
    </row>
    <row r="39" spans="1:2" x14ac:dyDescent="0.35">
      <c r="A39" s="249" t="s">
        <v>225</v>
      </c>
      <c r="B39" s="249" t="s">
        <v>198</v>
      </c>
    </row>
    <row r="40" spans="1:2" x14ac:dyDescent="0.35">
      <c r="A40" s="249" t="s">
        <v>226</v>
      </c>
      <c r="B40" s="249" t="s">
        <v>198</v>
      </c>
    </row>
    <row r="41" spans="1:2" x14ac:dyDescent="0.35">
      <c r="A41" s="249" t="s">
        <v>227</v>
      </c>
      <c r="B41" s="249" t="s">
        <v>198</v>
      </c>
    </row>
    <row r="42" spans="1:2" x14ac:dyDescent="0.35">
      <c r="A42" s="249" t="s">
        <v>228</v>
      </c>
      <c r="B42" s="249" t="s">
        <v>229</v>
      </c>
    </row>
    <row r="43" spans="1:2" x14ac:dyDescent="0.35">
      <c r="A43" s="249" t="s">
        <v>230</v>
      </c>
      <c r="B43" s="249" t="s">
        <v>229</v>
      </c>
    </row>
    <row r="44" spans="1:2" x14ac:dyDescent="0.35">
      <c r="A44" s="249" t="s">
        <v>231</v>
      </c>
      <c r="B44" s="249" t="s">
        <v>229</v>
      </c>
    </row>
    <row r="45" spans="1:2" x14ac:dyDescent="0.35">
      <c r="A45" s="249" t="s">
        <v>232</v>
      </c>
      <c r="B45" s="249" t="s">
        <v>229</v>
      </c>
    </row>
    <row r="46" spans="1:2" x14ac:dyDescent="0.35">
      <c r="A46" s="249" t="s">
        <v>233</v>
      </c>
      <c r="B46" s="249" t="s">
        <v>234</v>
      </c>
    </row>
    <row r="47" spans="1:2" x14ac:dyDescent="0.35">
      <c r="A47" s="249" t="s">
        <v>235</v>
      </c>
      <c r="B47" s="249" t="s">
        <v>234</v>
      </c>
    </row>
    <row r="48" spans="1:2" x14ac:dyDescent="0.35">
      <c r="A48" s="249" t="s">
        <v>236</v>
      </c>
      <c r="B48" s="249" t="s">
        <v>234</v>
      </c>
    </row>
    <row r="49" spans="1:2" x14ac:dyDescent="0.35">
      <c r="A49" s="249" t="s">
        <v>237</v>
      </c>
      <c r="B49" s="249" t="s">
        <v>238</v>
      </c>
    </row>
    <row r="50" spans="1:2" x14ac:dyDescent="0.35">
      <c r="A50" s="249" t="s">
        <v>239</v>
      </c>
      <c r="B50" s="249" t="s">
        <v>238</v>
      </c>
    </row>
    <row r="51" spans="1:2" x14ac:dyDescent="0.35">
      <c r="A51" s="249" t="s">
        <v>240</v>
      </c>
      <c r="B51" s="249" t="s">
        <v>241</v>
      </c>
    </row>
    <row r="52" spans="1:2" x14ac:dyDescent="0.35">
      <c r="A52" s="249" t="s">
        <v>242</v>
      </c>
      <c r="B52" s="249" t="s">
        <v>241</v>
      </c>
    </row>
    <row r="53" spans="1:2" x14ac:dyDescent="0.35">
      <c r="A53" s="249" t="s">
        <v>243</v>
      </c>
      <c r="B53" s="249" t="s">
        <v>241</v>
      </c>
    </row>
    <row r="54" spans="1:2" x14ac:dyDescent="0.35">
      <c r="A54" s="249" t="s">
        <v>244</v>
      </c>
      <c r="B54" s="249" t="s">
        <v>241</v>
      </c>
    </row>
    <row r="55" spans="1:2" x14ac:dyDescent="0.35">
      <c r="A55" s="249" t="s">
        <v>245</v>
      </c>
      <c r="B55" s="249" t="s">
        <v>241</v>
      </c>
    </row>
    <row r="56" spans="1:2" x14ac:dyDescent="0.35">
      <c r="A56" s="249" t="s">
        <v>246</v>
      </c>
      <c r="B56" s="249" t="s">
        <v>241</v>
      </c>
    </row>
    <row r="57" spans="1:2" x14ac:dyDescent="0.35">
      <c r="A57" s="249" t="s">
        <v>247</v>
      </c>
      <c r="B57" s="249" t="s">
        <v>241</v>
      </c>
    </row>
    <row r="58" spans="1:2" x14ac:dyDescent="0.35">
      <c r="A58" s="249" t="s">
        <v>248</v>
      </c>
      <c r="B58" s="249" t="s">
        <v>241</v>
      </c>
    </row>
    <row r="59" spans="1:2" x14ac:dyDescent="0.35">
      <c r="A59" s="249" t="s">
        <v>249</v>
      </c>
      <c r="B59" s="249" t="s">
        <v>241</v>
      </c>
    </row>
    <row r="60" spans="1:2" x14ac:dyDescent="0.35">
      <c r="A60" s="249" t="s">
        <v>250</v>
      </c>
      <c r="B60" s="249" t="s">
        <v>241</v>
      </c>
    </row>
    <row r="61" spans="1:2" x14ac:dyDescent="0.35">
      <c r="A61" s="249" t="s">
        <v>251</v>
      </c>
      <c r="B61" s="249" t="s">
        <v>241</v>
      </c>
    </row>
    <row r="62" spans="1:2" x14ac:dyDescent="0.35">
      <c r="A62" s="249" t="s">
        <v>252</v>
      </c>
      <c r="B62" s="249" t="s">
        <v>253</v>
      </c>
    </row>
    <row r="63" spans="1:2" x14ac:dyDescent="0.35">
      <c r="A63" s="249" t="s">
        <v>254</v>
      </c>
      <c r="B63" s="249" t="s">
        <v>253</v>
      </c>
    </row>
    <row r="64" spans="1:2" x14ac:dyDescent="0.35">
      <c r="A64" s="249" t="s">
        <v>255</v>
      </c>
      <c r="B64" s="249" t="s">
        <v>256</v>
      </c>
    </row>
    <row r="65" spans="1:2" x14ac:dyDescent="0.35">
      <c r="A65" s="249" t="s">
        <v>257</v>
      </c>
      <c r="B65" s="249" t="s">
        <v>256</v>
      </c>
    </row>
    <row r="66" spans="1:2" x14ac:dyDescent="0.35">
      <c r="A66" s="249" t="s">
        <v>258</v>
      </c>
      <c r="B66" s="249" t="s">
        <v>256</v>
      </c>
    </row>
    <row r="67" spans="1:2" x14ac:dyDescent="0.35">
      <c r="A67" s="249" t="s">
        <v>259</v>
      </c>
      <c r="B67" s="249" t="s">
        <v>256</v>
      </c>
    </row>
    <row r="68" spans="1:2" x14ac:dyDescent="0.35">
      <c r="A68" s="249" t="s">
        <v>260</v>
      </c>
      <c r="B68" s="249" t="s">
        <v>256</v>
      </c>
    </row>
    <row r="69" spans="1:2" x14ac:dyDescent="0.35">
      <c r="A69" s="249" t="s">
        <v>261</v>
      </c>
      <c r="B69" s="249" t="s">
        <v>256</v>
      </c>
    </row>
    <row r="70" spans="1:2" x14ac:dyDescent="0.35">
      <c r="A70" s="249" t="s">
        <v>262</v>
      </c>
      <c r="B70" s="249" t="s">
        <v>256</v>
      </c>
    </row>
    <row r="71" spans="1:2" x14ac:dyDescent="0.35">
      <c r="A71" s="249" t="s">
        <v>263</v>
      </c>
      <c r="B71" s="249" t="s">
        <v>264</v>
      </c>
    </row>
    <row r="72" spans="1:2" x14ac:dyDescent="0.35">
      <c r="A72" s="249" t="s">
        <v>265</v>
      </c>
      <c r="B72" s="249" t="s">
        <v>264</v>
      </c>
    </row>
    <row r="73" spans="1:2" x14ac:dyDescent="0.35">
      <c r="A73" s="249" t="s">
        <v>266</v>
      </c>
      <c r="B73" s="249" t="s">
        <v>264</v>
      </c>
    </row>
  </sheetData>
  <sortState xmlns:xlrd2="http://schemas.microsoft.com/office/spreadsheetml/2017/richdata2" ref="A2:B73">
    <sortCondition ref="B2:B7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5" tint="0.39997558519241921"/>
  </sheetPr>
  <dimension ref="A1:H258"/>
  <sheetViews>
    <sheetView showGridLines="0" zoomScale="75" zoomScaleNormal="75" workbookViewId="0">
      <selection activeCell="B15" sqref="B15"/>
    </sheetView>
  </sheetViews>
  <sheetFormatPr defaultColWidth="9" defaultRowHeight="14" x14ac:dyDescent="0.3"/>
  <cols>
    <col min="1" max="1" width="83" style="13" customWidth="1"/>
    <col min="2" max="2" width="17.7265625" style="13" customWidth="1"/>
    <col min="3" max="5" width="16.54296875" style="13" customWidth="1"/>
    <col min="6" max="6" width="74.81640625" style="13" customWidth="1"/>
    <col min="7" max="8" width="14.1796875" style="13" bestFit="1" customWidth="1"/>
    <col min="9" max="16384" width="9" style="13"/>
  </cols>
  <sheetData>
    <row r="1" spans="1:6" x14ac:dyDescent="0.3">
      <c r="A1" s="59" t="s">
        <v>134</v>
      </c>
      <c r="B1" s="60" t="s">
        <v>1</v>
      </c>
      <c r="C1" s="60" t="s">
        <v>2</v>
      </c>
      <c r="D1" s="60" t="s">
        <v>3</v>
      </c>
      <c r="E1" s="62" t="s">
        <v>4</v>
      </c>
    </row>
    <row r="2" spans="1:6" x14ac:dyDescent="0.3">
      <c r="A2" s="28" t="s">
        <v>5</v>
      </c>
      <c r="B2" s="29">
        <v>5</v>
      </c>
      <c r="C2" s="29">
        <v>5</v>
      </c>
      <c r="D2" s="29">
        <v>5</v>
      </c>
      <c r="E2" s="30">
        <v>5</v>
      </c>
    </row>
    <row r="3" spans="1:6" x14ac:dyDescent="0.3">
      <c r="A3" s="28" t="s">
        <v>6</v>
      </c>
      <c r="B3" s="29">
        <v>5</v>
      </c>
      <c r="C3" s="29">
        <v>5</v>
      </c>
      <c r="D3" s="29">
        <v>5</v>
      </c>
      <c r="E3" s="30">
        <v>5</v>
      </c>
    </row>
    <row r="4" spans="1:6" x14ac:dyDescent="0.3">
      <c r="A4" s="28" t="s">
        <v>7</v>
      </c>
      <c r="B4" s="29">
        <v>5</v>
      </c>
      <c r="C4" s="29">
        <v>5</v>
      </c>
      <c r="D4" s="29">
        <v>5</v>
      </c>
      <c r="E4" s="30">
        <v>5</v>
      </c>
    </row>
    <row r="5" spans="1:6" x14ac:dyDescent="0.3">
      <c r="A5" s="28" t="s">
        <v>8</v>
      </c>
      <c r="B5" s="29">
        <v>3</v>
      </c>
      <c r="C5" s="29">
        <v>3</v>
      </c>
      <c r="D5" s="29">
        <v>2</v>
      </c>
      <c r="E5" s="30">
        <v>2</v>
      </c>
    </row>
    <row r="6" spans="1:6" ht="14.5" thickBot="1" x14ac:dyDescent="0.35">
      <c r="A6" s="31" t="s">
        <v>9</v>
      </c>
      <c r="B6" s="32">
        <v>3</v>
      </c>
      <c r="C6" s="32">
        <v>3</v>
      </c>
      <c r="D6" s="32">
        <v>3</v>
      </c>
      <c r="E6" s="33">
        <v>3</v>
      </c>
    </row>
    <row r="9" spans="1:6" ht="14.5" thickBot="1" x14ac:dyDescent="0.35"/>
    <row r="10" spans="1:6" x14ac:dyDescent="0.3">
      <c r="A10" s="26" t="s">
        <v>135</v>
      </c>
      <c r="B10" s="9" t="s">
        <v>1</v>
      </c>
      <c r="C10" s="9" t="s">
        <v>2</v>
      </c>
      <c r="D10" s="9" t="s">
        <v>3</v>
      </c>
      <c r="E10" s="58" t="s">
        <v>4</v>
      </c>
    </row>
    <row r="11" spans="1:6" x14ac:dyDescent="0.3">
      <c r="A11" s="10" t="s">
        <v>11</v>
      </c>
      <c r="B11" s="15">
        <v>81</v>
      </c>
      <c r="C11" s="15">
        <v>76</v>
      </c>
      <c r="D11" s="15">
        <v>80</v>
      </c>
      <c r="E11" s="69">
        <v>77</v>
      </c>
      <c r="F11" s="37"/>
    </row>
    <row r="12" spans="1:6" x14ac:dyDescent="0.3">
      <c r="A12" s="10" t="s">
        <v>12</v>
      </c>
      <c r="B12" s="15">
        <v>178</v>
      </c>
      <c r="C12" s="15">
        <v>164</v>
      </c>
      <c r="D12" s="15">
        <v>168</v>
      </c>
      <c r="E12" s="69">
        <v>167</v>
      </c>
      <c r="F12" s="37"/>
    </row>
    <row r="13" spans="1:6" x14ac:dyDescent="0.3">
      <c r="A13" s="10" t="s">
        <v>13</v>
      </c>
      <c r="B13" s="23">
        <v>21907.119999999999</v>
      </c>
      <c r="C13" s="23">
        <v>20369.03</v>
      </c>
      <c r="D13" s="23">
        <v>23017.09</v>
      </c>
      <c r="E13" s="68">
        <v>24398.83</v>
      </c>
      <c r="F13" s="37"/>
    </row>
    <row r="14" spans="1:6" x14ac:dyDescent="0.3">
      <c r="A14" s="10" t="s">
        <v>14</v>
      </c>
      <c r="B14" s="23">
        <f>B13*52/B11</f>
        <v>14063.83012345679</v>
      </c>
      <c r="C14" s="23">
        <f>C13*52/C11</f>
        <v>13936.704736842106</v>
      </c>
      <c r="D14" s="23">
        <f>D13*52/D11</f>
        <v>14961.108499999998</v>
      </c>
      <c r="E14" s="68">
        <f>E13*52/E11</f>
        <v>16477.131948051949</v>
      </c>
      <c r="F14" s="37"/>
    </row>
    <row r="15" spans="1:6" x14ac:dyDescent="0.3">
      <c r="A15" s="10" t="s">
        <v>15</v>
      </c>
      <c r="B15" s="23">
        <f>B13*52</f>
        <v>1139170.24</v>
      </c>
      <c r="C15" s="23">
        <f>C13*52</f>
        <v>1059189.56</v>
      </c>
      <c r="D15" s="23">
        <f>D13*52</f>
        <v>1196888.68</v>
      </c>
      <c r="E15" s="68">
        <f>E13*52</f>
        <v>1268739.1600000001</v>
      </c>
      <c r="F15" s="37"/>
    </row>
    <row r="16" spans="1:6" ht="14.5" thickBot="1" x14ac:dyDescent="0.35">
      <c r="A16" s="114" t="s">
        <v>16</v>
      </c>
      <c r="B16" s="24">
        <v>494</v>
      </c>
      <c r="C16" s="24">
        <v>514</v>
      </c>
      <c r="D16" s="24">
        <v>482</v>
      </c>
      <c r="E16" s="70">
        <v>575</v>
      </c>
      <c r="F16" s="37"/>
    </row>
    <row r="17" spans="1:6" x14ac:dyDescent="0.3">
      <c r="A17" s="112" t="s">
        <v>17</v>
      </c>
      <c r="B17" s="140">
        <v>42</v>
      </c>
      <c r="C17" s="140">
        <v>45</v>
      </c>
      <c r="D17" s="140">
        <v>40</v>
      </c>
      <c r="E17" s="141">
        <v>35</v>
      </c>
      <c r="F17" s="51"/>
    </row>
    <row r="18" spans="1:6" x14ac:dyDescent="0.3">
      <c r="A18" s="25" t="s">
        <v>18</v>
      </c>
      <c r="B18" s="41">
        <v>6</v>
      </c>
      <c r="C18" s="41">
        <v>5</v>
      </c>
      <c r="D18" s="41">
        <v>8</v>
      </c>
      <c r="E18" s="86">
        <v>10</v>
      </c>
      <c r="F18" s="93"/>
    </row>
    <row r="19" spans="1:6" x14ac:dyDescent="0.3">
      <c r="A19" s="78" t="s">
        <v>19</v>
      </c>
      <c r="B19" s="122">
        <f>B18/B17</f>
        <v>0.14285714285714285</v>
      </c>
      <c r="C19" s="122">
        <f>C18/C17</f>
        <v>0.1111111111111111</v>
      </c>
      <c r="D19" s="122">
        <f>D18/D17</f>
        <v>0.2</v>
      </c>
      <c r="E19" s="185">
        <f>E18/E17</f>
        <v>0.2857142857142857</v>
      </c>
      <c r="F19" s="93"/>
    </row>
    <row r="20" spans="1:6" ht="14.5" thickBot="1" x14ac:dyDescent="0.35">
      <c r="A20" s="34" t="s">
        <v>20</v>
      </c>
      <c r="B20" s="72">
        <v>11</v>
      </c>
      <c r="C20" s="72">
        <v>9</v>
      </c>
      <c r="D20" s="72">
        <v>15</v>
      </c>
      <c r="E20" s="142">
        <v>14</v>
      </c>
      <c r="F20" s="51"/>
    </row>
    <row r="21" spans="1:6" x14ac:dyDescent="0.3">
      <c r="A21" s="112" t="s">
        <v>21</v>
      </c>
      <c r="B21" s="140">
        <v>22</v>
      </c>
      <c r="C21" s="140">
        <v>21</v>
      </c>
      <c r="D21" s="140">
        <v>23</v>
      </c>
      <c r="E21" s="141">
        <v>23</v>
      </c>
      <c r="F21" s="51"/>
    </row>
    <row r="22" spans="1:6" x14ac:dyDescent="0.3">
      <c r="A22" s="25" t="s">
        <v>136</v>
      </c>
      <c r="B22" s="41">
        <v>9</v>
      </c>
      <c r="C22" s="41">
        <v>11</v>
      </c>
      <c r="D22" s="41">
        <v>10</v>
      </c>
      <c r="E22" s="86">
        <v>12</v>
      </c>
      <c r="F22" s="93"/>
    </row>
    <row r="23" spans="1:6" x14ac:dyDescent="0.3">
      <c r="A23" s="25" t="s">
        <v>23</v>
      </c>
      <c r="B23" s="41">
        <v>0</v>
      </c>
      <c r="C23" s="41">
        <v>0</v>
      </c>
      <c r="D23" s="41">
        <v>0</v>
      </c>
      <c r="E23" s="86">
        <v>1</v>
      </c>
      <c r="F23" s="51"/>
    </row>
    <row r="24" spans="1:6" x14ac:dyDescent="0.3">
      <c r="A24" s="25" t="s">
        <v>24</v>
      </c>
      <c r="B24" s="15">
        <v>4</v>
      </c>
      <c r="C24" s="15">
        <v>1</v>
      </c>
      <c r="D24" s="15">
        <v>1</v>
      </c>
      <c r="E24" s="69">
        <v>3</v>
      </c>
      <c r="F24" s="51"/>
    </row>
    <row r="25" spans="1:6" ht="14.5" thickBot="1" x14ac:dyDescent="0.35">
      <c r="A25" s="34" t="s">
        <v>25</v>
      </c>
      <c r="B25" s="143">
        <f>(B24+B23+B21)/(B11-B26)</f>
        <v>0.32911392405063289</v>
      </c>
      <c r="C25" s="143">
        <f t="shared" ref="C25:E25" si="0">(C24+C23+C21)/(C11-C26)</f>
        <v>0.28947368421052633</v>
      </c>
      <c r="D25" s="143">
        <f>(D24+D23+D21)/(D11-D26)</f>
        <v>0.30379746835443039</v>
      </c>
      <c r="E25" s="184">
        <f t="shared" si="0"/>
        <v>0.35526315789473684</v>
      </c>
      <c r="F25" s="51"/>
    </row>
    <row r="26" spans="1:6" ht="14.5" thickBot="1" x14ac:dyDescent="0.35">
      <c r="A26" s="115" t="s">
        <v>26</v>
      </c>
      <c r="B26" s="118">
        <v>2</v>
      </c>
      <c r="C26" s="118">
        <v>0</v>
      </c>
      <c r="D26" s="118">
        <v>1</v>
      </c>
      <c r="E26" s="119">
        <v>1</v>
      </c>
      <c r="F26" s="51"/>
    </row>
    <row r="27" spans="1:6" x14ac:dyDescent="0.3">
      <c r="A27" s="112" t="s">
        <v>27</v>
      </c>
      <c r="B27" s="46">
        <v>89</v>
      </c>
      <c r="C27" s="46">
        <v>84</v>
      </c>
      <c r="D27" s="46">
        <v>88</v>
      </c>
      <c r="E27" s="113">
        <v>78</v>
      </c>
      <c r="F27" s="37"/>
    </row>
    <row r="28" spans="1:6" x14ac:dyDescent="0.3">
      <c r="A28" s="25" t="s">
        <v>28</v>
      </c>
      <c r="B28" s="15">
        <v>14</v>
      </c>
      <c r="C28" s="15">
        <v>17</v>
      </c>
      <c r="D28" s="15">
        <v>23</v>
      </c>
      <c r="E28" s="69">
        <v>10</v>
      </c>
      <c r="F28" s="37"/>
    </row>
    <row r="29" spans="1:6" ht="14.5" thickBot="1" x14ac:dyDescent="0.35">
      <c r="A29" s="34" t="s">
        <v>29</v>
      </c>
      <c r="B29" s="24">
        <v>14</v>
      </c>
      <c r="C29" s="24">
        <v>22</v>
      </c>
      <c r="D29" s="24">
        <v>19</v>
      </c>
      <c r="E29" s="70">
        <v>13</v>
      </c>
      <c r="F29" s="37"/>
    </row>
    <row r="32" spans="1:6" ht="14.5" thickBot="1" x14ac:dyDescent="0.35"/>
    <row r="33" spans="1:6" x14ac:dyDescent="0.3">
      <c r="A33" s="26" t="s">
        <v>30</v>
      </c>
      <c r="B33" s="9" t="s">
        <v>1</v>
      </c>
      <c r="C33" s="9" t="s">
        <v>2</v>
      </c>
      <c r="D33" s="9" t="s">
        <v>3</v>
      </c>
      <c r="E33" s="58" t="s">
        <v>4</v>
      </c>
    </row>
    <row r="34" spans="1:6" x14ac:dyDescent="0.3">
      <c r="A34" s="25" t="s">
        <v>11</v>
      </c>
      <c r="B34" s="15">
        <v>19</v>
      </c>
      <c r="C34" s="15">
        <v>20</v>
      </c>
      <c r="D34" s="15">
        <v>24</v>
      </c>
      <c r="E34" s="69">
        <v>24</v>
      </c>
      <c r="F34" s="37"/>
    </row>
    <row r="35" spans="1:6" x14ac:dyDescent="0.3">
      <c r="A35" s="25" t="s">
        <v>13</v>
      </c>
      <c r="B35" s="23">
        <v>7164.68</v>
      </c>
      <c r="C35" s="23">
        <v>7413.93</v>
      </c>
      <c r="D35" s="23">
        <v>8657.14</v>
      </c>
      <c r="E35" s="68">
        <v>8625.43</v>
      </c>
      <c r="F35" s="37"/>
    </row>
    <row r="36" spans="1:6" x14ac:dyDescent="0.3">
      <c r="A36" s="25" t="s">
        <v>14</v>
      </c>
      <c r="B36" s="23">
        <f>B35*52/B34</f>
        <v>19608.597894736842</v>
      </c>
      <c r="C36" s="23">
        <f t="shared" ref="C36:E36" si="1">C35*52/C34</f>
        <v>19276.218000000001</v>
      </c>
      <c r="D36" s="23">
        <f t="shared" si="1"/>
        <v>18757.136666666665</v>
      </c>
      <c r="E36" s="68">
        <f t="shared" si="1"/>
        <v>18688.431666666667</v>
      </c>
      <c r="F36" s="37"/>
    </row>
    <row r="37" spans="1:6" x14ac:dyDescent="0.3">
      <c r="A37" s="25" t="s">
        <v>15</v>
      </c>
      <c r="B37" s="23">
        <f>B35*52</f>
        <v>372563.36</v>
      </c>
      <c r="C37" s="23">
        <f t="shared" ref="C37:E37" si="2">C35*52</f>
        <v>385524.36</v>
      </c>
      <c r="D37" s="23">
        <f t="shared" si="2"/>
        <v>450171.27999999997</v>
      </c>
      <c r="E37" s="68">
        <f t="shared" si="2"/>
        <v>448522.36</v>
      </c>
      <c r="F37" s="37"/>
    </row>
    <row r="38" spans="1:6" ht="14.5" thickBot="1" x14ac:dyDescent="0.35">
      <c r="A38" s="34" t="s">
        <v>16</v>
      </c>
      <c r="B38" s="24">
        <v>1138</v>
      </c>
      <c r="C38" s="24">
        <v>1065</v>
      </c>
      <c r="D38" s="24">
        <v>855</v>
      </c>
      <c r="E38" s="70">
        <v>895</v>
      </c>
      <c r="F38" s="37"/>
    </row>
    <row r="39" spans="1:6" x14ac:dyDescent="0.3">
      <c r="A39" s="112" t="s">
        <v>31</v>
      </c>
      <c r="B39" s="46">
        <v>16</v>
      </c>
      <c r="C39" s="46">
        <v>16</v>
      </c>
      <c r="D39" s="46">
        <v>20</v>
      </c>
      <c r="E39" s="113">
        <v>19</v>
      </c>
      <c r="F39" s="51"/>
    </row>
    <row r="40" spans="1:6" x14ac:dyDescent="0.3">
      <c r="A40" s="25" t="s">
        <v>32</v>
      </c>
      <c r="B40" s="15">
        <v>7</v>
      </c>
      <c r="C40" s="15">
        <v>7</v>
      </c>
      <c r="D40" s="15">
        <v>7</v>
      </c>
      <c r="E40" s="69">
        <v>7</v>
      </c>
    </row>
    <row r="41" spans="1:6" x14ac:dyDescent="0.3">
      <c r="A41" s="78" t="s">
        <v>19</v>
      </c>
      <c r="B41" s="122">
        <f>B40/B39</f>
        <v>0.4375</v>
      </c>
      <c r="C41" s="122">
        <f t="shared" ref="C41:E41" si="3">C40/C39</f>
        <v>0.4375</v>
      </c>
      <c r="D41" s="122">
        <f t="shared" si="3"/>
        <v>0.35</v>
      </c>
      <c r="E41" s="185">
        <f t="shared" si="3"/>
        <v>0.36842105263157893</v>
      </c>
    </row>
    <row r="42" spans="1:6" ht="14.5" thickBot="1" x14ac:dyDescent="0.35">
      <c r="A42" s="34" t="s">
        <v>33</v>
      </c>
      <c r="B42" s="72">
        <v>1</v>
      </c>
      <c r="C42" s="72">
        <v>0</v>
      </c>
      <c r="D42" s="72">
        <v>0</v>
      </c>
      <c r="E42" s="142">
        <v>1</v>
      </c>
      <c r="F42" s="51"/>
    </row>
    <row r="43" spans="1:6" x14ac:dyDescent="0.3">
      <c r="A43" s="112" t="s">
        <v>34</v>
      </c>
      <c r="B43" s="46">
        <v>1</v>
      </c>
      <c r="C43" s="46">
        <v>2</v>
      </c>
      <c r="D43" s="46">
        <v>3</v>
      </c>
      <c r="E43" s="113">
        <v>2</v>
      </c>
      <c r="F43" s="51"/>
    </row>
    <row r="44" spans="1:6" x14ac:dyDescent="0.3">
      <c r="A44" s="25" t="s">
        <v>35</v>
      </c>
      <c r="B44" s="15">
        <v>0</v>
      </c>
      <c r="C44" s="15">
        <v>1</v>
      </c>
      <c r="D44" s="15">
        <v>1</v>
      </c>
      <c r="E44" s="69">
        <v>2</v>
      </c>
    </row>
    <row r="45" spans="1:6" x14ac:dyDescent="0.3">
      <c r="A45" s="25" t="s">
        <v>36</v>
      </c>
      <c r="B45" s="15">
        <v>1</v>
      </c>
      <c r="C45" s="15">
        <v>2</v>
      </c>
      <c r="D45" s="15">
        <v>0</v>
      </c>
      <c r="E45" s="69">
        <v>0</v>
      </c>
      <c r="F45" s="51"/>
    </row>
    <row r="46" spans="1:6" x14ac:dyDescent="0.3">
      <c r="A46" s="25" t="s">
        <v>37</v>
      </c>
      <c r="B46" s="15">
        <v>0</v>
      </c>
      <c r="C46" s="15">
        <v>0</v>
      </c>
      <c r="D46" s="15">
        <v>0</v>
      </c>
      <c r="E46" s="69">
        <v>0</v>
      </c>
      <c r="F46" s="51"/>
    </row>
    <row r="47" spans="1:6" ht="14.5" thickBot="1" x14ac:dyDescent="0.35">
      <c r="A47" s="34" t="s">
        <v>25</v>
      </c>
      <c r="B47" s="143">
        <f>(B46+B45+B43)/(B34-B48)</f>
        <v>0.10526315789473684</v>
      </c>
      <c r="C47" s="143">
        <f t="shared" ref="C47:E47" si="4">(C46+C45+C43)/(C34-C48)</f>
        <v>0.2</v>
      </c>
      <c r="D47" s="143">
        <f t="shared" si="4"/>
        <v>0.13043478260869565</v>
      </c>
      <c r="E47" s="184">
        <f t="shared" si="4"/>
        <v>9.0909090909090912E-2</v>
      </c>
      <c r="F47" s="51"/>
    </row>
    <row r="48" spans="1:6" ht="14.5" thickBot="1" x14ac:dyDescent="0.35">
      <c r="A48" s="115" t="s">
        <v>26</v>
      </c>
      <c r="B48" s="118">
        <v>0</v>
      </c>
      <c r="C48" s="118">
        <v>0</v>
      </c>
      <c r="D48" s="118">
        <v>1</v>
      </c>
      <c r="E48" s="119">
        <v>2</v>
      </c>
      <c r="F48" s="51"/>
    </row>
    <row r="49" spans="1:8" x14ac:dyDescent="0.3">
      <c r="A49" s="112" t="s">
        <v>27</v>
      </c>
      <c r="B49" s="102">
        <v>24</v>
      </c>
      <c r="C49" s="102">
        <v>22</v>
      </c>
      <c r="D49" s="102">
        <v>26</v>
      </c>
      <c r="E49" s="103">
        <v>21</v>
      </c>
      <c r="F49" s="37"/>
    </row>
    <row r="50" spans="1:8" x14ac:dyDescent="0.3">
      <c r="A50" s="25" t="s">
        <v>28</v>
      </c>
      <c r="B50" s="27">
        <v>1</v>
      </c>
      <c r="C50" s="27">
        <v>4</v>
      </c>
      <c r="D50" s="27">
        <v>5</v>
      </c>
      <c r="E50" s="82">
        <v>2</v>
      </c>
      <c r="F50" s="37"/>
    </row>
    <row r="51" spans="1:8" ht="14.5" thickBot="1" x14ac:dyDescent="0.35">
      <c r="A51" s="34" t="s">
        <v>29</v>
      </c>
      <c r="B51" s="40">
        <v>2</v>
      </c>
      <c r="C51" s="40">
        <v>3</v>
      </c>
      <c r="D51" s="40">
        <v>1</v>
      </c>
      <c r="E51" s="83">
        <v>2</v>
      </c>
      <c r="F51" s="37"/>
    </row>
    <row r="52" spans="1:8" x14ac:dyDescent="0.3">
      <c r="A52" s="16"/>
    </row>
    <row r="53" spans="1:8" x14ac:dyDescent="0.3">
      <c r="A53" s="16"/>
    </row>
    <row r="54" spans="1:8" ht="14.5" thickBot="1" x14ac:dyDescent="0.35">
      <c r="A54" s="16"/>
    </row>
    <row r="55" spans="1:8" x14ac:dyDescent="0.3">
      <c r="A55" s="26" t="s">
        <v>137</v>
      </c>
      <c r="B55" s="9" t="s">
        <v>1</v>
      </c>
      <c r="C55" s="9" t="s">
        <v>2</v>
      </c>
      <c r="D55" s="9" t="s">
        <v>3</v>
      </c>
      <c r="E55" s="58" t="s">
        <v>4</v>
      </c>
    </row>
    <row r="56" spans="1:8" x14ac:dyDescent="0.3">
      <c r="A56" s="25" t="s">
        <v>39</v>
      </c>
      <c r="B56" s="15">
        <v>481</v>
      </c>
      <c r="C56" s="15">
        <v>482</v>
      </c>
      <c r="D56" s="15">
        <v>498</v>
      </c>
      <c r="E56" s="69">
        <v>516</v>
      </c>
    </row>
    <row r="57" spans="1:8" x14ac:dyDescent="0.3">
      <c r="A57" s="25" t="s">
        <v>40</v>
      </c>
      <c r="B57" s="15">
        <v>93</v>
      </c>
      <c r="C57" s="15">
        <v>100</v>
      </c>
      <c r="D57" s="15">
        <v>92</v>
      </c>
      <c r="E57" s="69">
        <v>87</v>
      </c>
    </row>
    <row r="58" spans="1:8" x14ac:dyDescent="0.3">
      <c r="A58" s="25" t="s">
        <v>41</v>
      </c>
      <c r="B58" s="15">
        <v>233</v>
      </c>
      <c r="C58" s="15">
        <v>219</v>
      </c>
      <c r="D58" s="15">
        <v>226</v>
      </c>
      <c r="E58" s="69">
        <v>237</v>
      </c>
    </row>
    <row r="59" spans="1:8" ht="14.5" thickBot="1" x14ac:dyDescent="0.35">
      <c r="A59" s="34" t="s">
        <v>42</v>
      </c>
      <c r="B59" s="24">
        <v>155</v>
      </c>
      <c r="C59" s="24">
        <v>163</v>
      </c>
      <c r="D59" s="24">
        <v>180</v>
      </c>
      <c r="E59" s="70">
        <v>192</v>
      </c>
    </row>
    <row r="60" spans="1:8" x14ac:dyDescent="0.3">
      <c r="A60" s="112" t="s">
        <v>43</v>
      </c>
      <c r="B60" s="46">
        <v>50</v>
      </c>
      <c r="C60" s="46">
        <v>58</v>
      </c>
      <c r="D60" s="46">
        <v>60</v>
      </c>
      <c r="E60" s="113">
        <v>62</v>
      </c>
    </row>
    <row r="61" spans="1:8" x14ac:dyDescent="0.3">
      <c r="A61" s="25" t="s">
        <v>44</v>
      </c>
      <c r="B61" s="23">
        <v>17323.419999999998</v>
      </c>
      <c r="C61" s="23">
        <v>24646.02</v>
      </c>
      <c r="D61" s="23">
        <v>26917.34</v>
      </c>
      <c r="E61" s="68">
        <v>28268.36</v>
      </c>
    </row>
    <row r="62" spans="1:8" x14ac:dyDescent="0.3">
      <c r="A62" s="25" t="s">
        <v>14</v>
      </c>
      <c r="B62" s="23">
        <f>B61/B60*52</f>
        <v>18016.356799999998</v>
      </c>
      <c r="C62" s="23">
        <f t="shared" ref="C62:E62" si="5">C61/C60*52</f>
        <v>22096.431724137932</v>
      </c>
      <c r="D62" s="23">
        <f t="shared" si="5"/>
        <v>23328.361333333334</v>
      </c>
      <c r="E62" s="68">
        <f t="shared" si="5"/>
        <v>23708.947096774195</v>
      </c>
    </row>
    <row r="63" spans="1:8" ht="14.5" thickBot="1" x14ac:dyDescent="0.35">
      <c r="A63" s="34" t="s">
        <v>15</v>
      </c>
      <c r="B63" s="120">
        <f>B61*52</f>
        <v>900817.83999999985</v>
      </c>
      <c r="C63" s="120">
        <f t="shared" ref="C63:E63" si="6">C61*52</f>
        <v>1281593.04</v>
      </c>
      <c r="D63" s="120">
        <f t="shared" si="6"/>
        <v>1399701.68</v>
      </c>
      <c r="E63" s="121">
        <f t="shared" si="6"/>
        <v>1469954.72</v>
      </c>
      <c r="H63" s="173"/>
    </row>
    <row r="64" spans="1:8" x14ac:dyDescent="0.3">
      <c r="A64" s="112" t="s">
        <v>45</v>
      </c>
      <c r="B64" s="148">
        <v>1</v>
      </c>
      <c r="C64" s="148">
        <v>9</v>
      </c>
      <c r="D64" s="148">
        <v>2</v>
      </c>
      <c r="E64" s="149">
        <v>2</v>
      </c>
    </row>
    <row r="65" spans="1:6" x14ac:dyDescent="0.3">
      <c r="A65" s="78" t="s">
        <v>46</v>
      </c>
      <c r="B65" s="15">
        <v>23</v>
      </c>
      <c r="C65" s="15">
        <v>26</v>
      </c>
      <c r="D65" s="15">
        <v>17</v>
      </c>
      <c r="E65" s="69">
        <v>23</v>
      </c>
    </row>
    <row r="66" spans="1:6" ht="14.5" thickBot="1" x14ac:dyDescent="0.35">
      <c r="A66" s="34" t="s">
        <v>47</v>
      </c>
      <c r="B66" s="24">
        <v>3</v>
      </c>
      <c r="C66" s="24">
        <v>1</v>
      </c>
      <c r="D66" s="24">
        <v>0</v>
      </c>
      <c r="E66" s="70">
        <v>2</v>
      </c>
    </row>
    <row r="67" spans="1:6" x14ac:dyDescent="0.3">
      <c r="A67" s="104"/>
      <c r="B67" s="37"/>
      <c r="C67" s="37"/>
      <c r="D67" s="37"/>
      <c r="E67" s="37"/>
    </row>
    <row r="68" spans="1:6" x14ac:dyDescent="0.3">
      <c r="A68" s="104"/>
      <c r="B68" s="37"/>
      <c r="C68" s="37"/>
      <c r="D68" s="37"/>
      <c r="E68" s="37"/>
    </row>
    <row r="69" spans="1:6" x14ac:dyDescent="0.3">
      <c r="A69" s="104"/>
      <c r="B69" s="37"/>
      <c r="C69" s="37"/>
      <c r="D69" s="37"/>
      <c r="E69" s="37"/>
    </row>
    <row r="70" spans="1:6" x14ac:dyDescent="0.3">
      <c r="A70" s="104"/>
      <c r="B70" s="37"/>
      <c r="C70" s="37"/>
      <c r="D70" s="37"/>
      <c r="E70" s="37"/>
    </row>
    <row r="71" spans="1:6" x14ac:dyDescent="0.3">
      <c r="A71" s="104"/>
      <c r="B71" s="37"/>
      <c r="C71" s="37"/>
      <c r="D71" s="37"/>
      <c r="E71" s="37"/>
    </row>
    <row r="72" spans="1:6" x14ac:dyDescent="0.3">
      <c r="A72" s="104"/>
      <c r="B72" s="37"/>
      <c r="C72" s="37"/>
      <c r="D72" s="37"/>
      <c r="E72" s="37"/>
    </row>
    <row r="73" spans="1:6" x14ac:dyDescent="0.3">
      <c r="A73" s="104"/>
      <c r="B73" s="37"/>
      <c r="C73" s="37"/>
      <c r="D73" s="37"/>
      <c r="E73" s="37"/>
    </row>
    <row r="74" spans="1:6" ht="14.5" thickBot="1" x14ac:dyDescent="0.35">
      <c r="A74" s="104"/>
      <c r="B74" s="37"/>
      <c r="C74" s="37"/>
      <c r="D74" s="37"/>
      <c r="E74" s="37"/>
    </row>
    <row r="75" spans="1:6" s="1" customFormat="1" x14ac:dyDescent="0.3">
      <c r="A75" s="190" t="s">
        <v>48</v>
      </c>
      <c r="B75" s="73" t="s">
        <v>49</v>
      </c>
      <c r="C75" s="191" t="s">
        <v>50</v>
      </c>
    </row>
    <row r="76" spans="1:6" s="1" customFormat="1" x14ac:dyDescent="0.3">
      <c r="A76" s="10" t="s">
        <v>51</v>
      </c>
      <c r="B76" s="123">
        <v>4</v>
      </c>
      <c r="C76" s="171">
        <f>B76/68</f>
        <v>5.8823529411764705E-2</v>
      </c>
    </row>
    <row r="77" spans="1:6" s="1" customFormat="1" x14ac:dyDescent="0.3">
      <c r="A77" s="10" t="s">
        <v>52</v>
      </c>
      <c r="B77" s="123">
        <v>0</v>
      </c>
      <c r="C77" s="171">
        <f t="shared" ref="C77:C82" si="7">B77/68</f>
        <v>0</v>
      </c>
    </row>
    <row r="78" spans="1:6" s="1" customFormat="1" x14ac:dyDescent="0.3">
      <c r="A78" s="10" t="s">
        <v>53</v>
      </c>
      <c r="B78" s="123">
        <v>0</v>
      </c>
      <c r="C78" s="171">
        <f t="shared" si="7"/>
        <v>0</v>
      </c>
    </row>
    <row r="79" spans="1:6" s="1" customFormat="1" x14ac:dyDescent="0.3">
      <c r="A79" s="10" t="s">
        <v>54</v>
      </c>
      <c r="B79" s="123">
        <v>42</v>
      </c>
      <c r="C79" s="171">
        <f t="shared" si="7"/>
        <v>0.61764705882352944</v>
      </c>
    </row>
    <row r="80" spans="1:6" s="1" customFormat="1" x14ac:dyDescent="0.3">
      <c r="A80" s="10" t="s">
        <v>55</v>
      </c>
      <c r="B80" s="123">
        <v>11</v>
      </c>
      <c r="C80" s="171">
        <f t="shared" si="7"/>
        <v>0.16176470588235295</v>
      </c>
      <c r="F80" s="84"/>
    </row>
    <row r="81" spans="1:4" s="1" customFormat="1" x14ac:dyDescent="0.3">
      <c r="A81" s="10" t="s">
        <v>56</v>
      </c>
      <c r="B81" s="123">
        <v>2</v>
      </c>
      <c r="C81" s="171">
        <f t="shared" si="7"/>
        <v>2.9411764705882353E-2</v>
      </c>
    </row>
    <row r="82" spans="1:4" s="1" customFormat="1" x14ac:dyDescent="0.3">
      <c r="A82" s="10" t="s">
        <v>57</v>
      </c>
      <c r="B82" s="123">
        <v>9</v>
      </c>
      <c r="C82" s="171">
        <f t="shared" si="7"/>
        <v>0.13235294117647059</v>
      </c>
    </row>
    <row r="83" spans="1:4" s="1" customFormat="1" ht="14.5" thickBot="1" x14ac:dyDescent="0.35">
      <c r="A83" s="192" t="s">
        <v>49</v>
      </c>
      <c r="B83" s="193">
        <f>SUM(B76:B82)</f>
        <v>68</v>
      </c>
      <c r="C83" s="194">
        <f>SUM(C76:C82)</f>
        <v>1</v>
      </c>
    </row>
    <row r="84" spans="1:4" s="1" customFormat="1" x14ac:dyDescent="0.3">
      <c r="A84" s="174"/>
      <c r="B84" s="174"/>
      <c r="C84" s="175"/>
      <c r="D84" s="174"/>
    </row>
    <row r="85" spans="1:4" s="1" customFormat="1" ht="14.5" thickBot="1" x14ac:dyDescent="0.35">
      <c r="A85" s="174"/>
      <c r="B85" s="174"/>
      <c r="C85" s="175"/>
      <c r="D85" s="174"/>
    </row>
    <row r="86" spans="1:4" s="1" customFormat="1" ht="14.25" customHeight="1" x14ac:dyDescent="0.3">
      <c r="A86" s="238" t="s">
        <v>58</v>
      </c>
      <c r="B86" s="239" t="s">
        <v>49</v>
      </c>
      <c r="C86" s="240" t="s">
        <v>50</v>
      </c>
      <c r="D86" s="80"/>
    </row>
    <row r="87" spans="1:4" s="1" customFormat="1" ht="14.25" customHeight="1" x14ac:dyDescent="0.3">
      <c r="A87" s="195" t="s">
        <v>59</v>
      </c>
      <c r="B87" s="124">
        <v>1</v>
      </c>
      <c r="C87" s="196">
        <f>B87/9</f>
        <v>0.1111111111111111</v>
      </c>
      <c r="D87" s="80"/>
    </row>
    <row r="88" spans="1:4" s="1" customFormat="1" ht="14.25" customHeight="1" x14ac:dyDescent="0.3">
      <c r="A88" s="195" t="s">
        <v>60</v>
      </c>
      <c r="B88" s="124">
        <v>5</v>
      </c>
      <c r="C88" s="196">
        <f t="shared" ref="C88:C91" si="8">B88/9</f>
        <v>0.55555555555555558</v>
      </c>
      <c r="D88" s="80"/>
    </row>
    <row r="89" spans="1:4" s="1" customFormat="1" ht="14.25" customHeight="1" x14ac:dyDescent="0.3">
      <c r="A89" s="195" t="s">
        <v>61</v>
      </c>
      <c r="B89" s="124">
        <v>0</v>
      </c>
      <c r="C89" s="196">
        <f t="shared" si="8"/>
        <v>0</v>
      </c>
      <c r="D89" s="80"/>
    </row>
    <row r="90" spans="1:4" s="1" customFormat="1" ht="14.25" customHeight="1" x14ac:dyDescent="0.3">
      <c r="A90" s="195" t="s">
        <v>62</v>
      </c>
      <c r="B90" s="124">
        <v>2</v>
      </c>
      <c r="C90" s="196">
        <f t="shared" si="8"/>
        <v>0.22222222222222221</v>
      </c>
      <c r="D90" s="80"/>
    </row>
    <row r="91" spans="1:4" s="1" customFormat="1" ht="14.25" customHeight="1" x14ac:dyDescent="0.3">
      <c r="A91" s="195" t="s">
        <v>63</v>
      </c>
      <c r="B91" s="124">
        <v>1</v>
      </c>
      <c r="C91" s="196">
        <f t="shared" si="8"/>
        <v>0.1111111111111111</v>
      </c>
      <c r="D91" s="80"/>
    </row>
    <row r="92" spans="1:4" s="1" customFormat="1" ht="14.5" thickBot="1" x14ac:dyDescent="0.35">
      <c r="A92" s="197" t="s">
        <v>49</v>
      </c>
      <c r="B92" s="198">
        <f>SUM(B87:B91)</f>
        <v>9</v>
      </c>
      <c r="C92" s="218">
        <f>SUM(C87:C91)</f>
        <v>1</v>
      </c>
      <c r="D92" s="17"/>
    </row>
    <row r="93" spans="1:4" s="1" customFormat="1" x14ac:dyDescent="0.3">
      <c r="A93" s="176"/>
      <c r="B93" s="177"/>
      <c r="C93" s="178"/>
      <c r="D93" s="170"/>
    </row>
    <row r="94" spans="1:4" s="1" customFormat="1" x14ac:dyDescent="0.3">
      <c r="A94" s="176"/>
      <c r="B94" s="177"/>
      <c r="C94" s="178"/>
      <c r="D94" s="170"/>
    </row>
    <row r="95" spans="1:4" s="1" customFormat="1" ht="14.5" thickBot="1" x14ac:dyDescent="0.35">
      <c r="A95" s="176"/>
      <c r="B95" s="177"/>
      <c r="C95" s="178"/>
      <c r="D95" s="170"/>
    </row>
    <row r="96" spans="1:4" s="1" customFormat="1" x14ac:dyDescent="0.3">
      <c r="A96" s="201" t="s">
        <v>64</v>
      </c>
      <c r="B96" s="202" t="s">
        <v>49</v>
      </c>
      <c r="C96" s="203" t="s">
        <v>50</v>
      </c>
      <c r="D96" s="2"/>
    </row>
    <row r="97" spans="1:4" s="1" customFormat="1" x14ac:dyDescent="0.3">
      <c r="A97" s="10" t="s">
        <v>51</v>
      </c>
      <c r="B97" s="125">
        <v>0</v>
      </c>
      <c r="C97" s="196">
        <f>B97/8</f>
        <v>0</v>
      </c>
      <c r="D97" s="2"/>
    </row>
    <row r="98" spans="1:4" s="1" customFormat="1" x14ac:dyDescent="0.3">
      <c r="A98" s="204" t="s">
        <v>52</v>
      </c>
      <c r="B98" s="125">
        <v>1</v>
      </c>
      <c r="C98" s="196">
        <v>0.12</v>
      </c>
      <c r="D98" s="2"/>
    </row>
    <row r="99" spans="1:4" s="1" customFormat="1" x14ac:dyDescent="0.3">
      <c r="A99" s="204" t="s">
        <v>53</v>
      </c>
      <c r="B99" s="125">
        <v>0</v>
      </c>
      <c r="C99" s="196">
        <f t="shared" ref="C99:C103" si="9">B99/8</f>
        <v>0</v>
      </c>
      <c r="D99" s="2"/>
    </row>
    <row r="100" spans="1:4" s="1" customFormat="1" x14ac:dyDescent="0.3">
      <c r="A100" s="204" t="s">
        <v>54</v>
      </c>
      <c r="B100" s="125">
        <v>2</v>
      </c>
      <c r="C100" s="196">
        <f t="shared" si="9"/>
        <v>0.25</v>
      </c>
      <c r="D100" s="2"/>
    </row>
    <row r="101" spans="1:4" s="1" customFormat="1" x14ac:dyDescent="0.3">
      <c r="A101" s="204" t="s">
        <v>55</v>
      </c>
      <c r="B101" s="125">
        <v>2</v>
      </c>
      <c r="C101" s="196">
        <f t="shared" si="9"/>
        <v>0.25</v>
      </c>
      <c r="D101" s="2"/>
    </row>
    <row r="102" spans="1:4" s="1" customFormat="1" x14ac:dyDescent="0.3">
      <c r="A102" s="204" t="s">
        <v>56</v>
      </c>
      <c r="B102" s="125">
        <v>0</v>
      </c>
      <c r="C102" s="196">
        <f t="shared" si="9"/>
        <v>0</v>
      </c>
      <c r="D102" s="2"/>
    </row>
    <row r="103" spans="1:4" s="1" customFormat="1" x14ac:dyDescent="0.3">
      <c r="A103" s="204" t="s">
        <v>57</v>
      </c>
      <c r="B103" s="125">
        <v>3</v>
      </c>
      <c r="C103" s="196">
        <f t="shared" si="9"/>
        <v>0.375</v>
      </c>
      <c r="D103" s="2"/>
    </row>
    <row r="104" spans="1:4" s="1" customFormat="1" ht="14.5" thickBot="1" x14ac:dyDescent="0.35">
      <c r="A104" s="205" t="s">
        <v>49</v>
      </c>
      <c r="B104" s="206">
        <f>SUM(B97:B103)</f>
        <v>8</v>
      </c>
      <c r="C104" s="217">
        <f>SUM(C97:C103)</f>
        <v>0.995</v>
      </c>
      <c r="D104" s="2"/>
    </row>
    <row r="105" spans="1:4" s="1" customFormat="1" x14ac:dyDescent="0.3">
      <c r="A105" s="179"/>
      <c r="B105" s="179"/>
      <c r="C105" s="180"/>
      <c r="D105" s="181"/>
    </row>
    <row r="106" spans="1:4" s="1" customFormat="1" ht="14.5" thickBot="1" x14ac:dyDescent="0.35">
      <c r="A106" s="179"/>
      <c r="B106" s="179"/>
      <c r="C106" s="180"/>
      <c r="D106" s="181"/>
    </row>
    <row r="107" spans="1:4" s="1" customFormat="1" x14ac:dyDescent="0.3">
      <c r="A107" s="235" t="s">
        <v>65</v>
      </c>
      <c r="B107" s="236" t="s">
        <v>49</v>
      </c>
      <c r="C107" s="237" t="s">
        <v>50</v>
      </c>
      <c r="D107" s="2"/>
    </row>
    <row r="108" spans="1:4" s="1" customFormat="1" x14ac:dyDescent="0.3">
      <c r="A108" s="210" t="s">
        <v>59</v>
      </c>
      <c r="B108" s="130">
        <v>1</v>
      </c>
      <c r="C108" s="196">
        <f>B108/3</f>
        <v>0.33333333333333331</v>
      </c>
      <c r="D108" s="2"/>
    </row>
    <row r="109" spans="1:4" s="1" customFormat="1" x14ac:dyDescent="0.3">
      <c r="A109" s="212" t="s">
        <v>60</v>
      </c>
      <c r="B109" s="133">
        <v>0</v>
      </c>
      <c r="C109" s="196">
        <f t="shared" ref="C109:C112" si="10">B109/3</f>
        <v>0</v>
      </c>
      <c r="D109" s="2"/>
    </row>
    <row r="110" spans="1:4" s="1" customFormat="1" x14ac:dyDescent="0.3">
      <c r="A110" s="212" t="s">
        <v>61</v>
      </c>
      <c r="B110" s="133">
        <v>0</v>
      </c>
      <c r="C110" s="196">
        <f t="shared" si="10"/>
        <v>0</v>
      </c>
      <c r="D110" s="2"/>
    </row>
    <row r="111" spans="1:4" s="1" customFormat="1" x14ac:dyDescent="0.3">
      <c r="A111" s="212" t="s">
        <v>62</v>
      </c>
      <c r="B111" s="133">
        <v>0</v>
      </c>
      <c r="C111" s="196">
        <f t="shared" si="10"/>
        <v>0</v>
      </c>
      <c r="D111" s="2"/>
    </row>
    <row r="112" spans="1:4" s="1" customFormat="1" x14ac:dyDescent="0.3">
      <c r="A112" s="212" t="s">
        <v>63</v>
      </c>
      <c r="B112" s="133">
        <v>2</v>
      </c>
      <c r="C112" s="196">
        <f t="shared" si="10"/>
        <v>0.66666666666666663</v>
      </c>
      <c r="D112" s="2"/>
    </row>
    <row r="113" spans="1:8" s="1" customFormat="1" ht="14.5" thickBot="1" x14ac:dyDescent="0.35">
      <c r="A113" s="214" t="s">
        <v>49</v>
      </c>
      <c r="B113" s="206">
        <f>SUM(B108:B112)</f>
        <v>3</v>
      </c>
      <c r="C113" s="215">
        <f>SUM(C108:C112)</f>
        <v>1</v>
      </c>
      <c r="D113" s="2"/>
    </row>
    <row r="114" spans="1:8" s="1" customFormat="1" x14ac:dyDescent="0.3">
      <c r="A114" s="182"/>
      <c r="B114" s="179"/>
      <c r="C114" s="183"/>
      <c r="D114" s="2"/>
    </row>
    <row r="115" spans="1:8" s="1" customFormat="1" x14ac:dyDescent="0.3">
      <c r="A115" s="248" t="s">
        <v>66</v>
      </c>
      <c r="B115" s="179"/>
      <c r="C115" s="183"/>
      <c r="D115" s="2"/>
    </row>
    <row r="116" spans="1:8" s="1" customFormat="1" x14ac:dyDescent="0.3">
      <c r="A116" s="182"/>
      <c r="B116" s="179"/>
      <c r="C116" s="183"/>
      <c r="D116" s="2"/>
    </row>
    <row r="117" spans="1:8" x14ac:dyDescent="0.3">
      <c r="A117" s="49" t="s">
        <v>67</v>
      </c>
      <c r="B117" s="73" t="s">
        <v>68</v>
      </c>
      <c r="C117" s="9" t="s">
        <v>49</v>
      </c>
      <c r="D117" s="58" t="s">
        <v>50</v>
      </c>
      <c r="E117" s="44"/>
      <c r="F117" s="163" t="s">
        <v>69</v>
      </c>
      <c r="G117" s="9" t="s">
        <v>114</v>
      </c>
      <c r="H117" s="58" t="s">
        <v>50</v>
      </c>
    </row>
    <row r="118" spans="1:8" x14ac:dyDescent="0.3">
      <c r="A118" s="25" t="s">
        <v>71</v>
      </c>
      <c r="B118" s="15" t="s">
        <v>72</v>
      </c>
      <c r="C118" s="15">
        <v>1</v>
      </c>
      <c r="D118" s="162">
        <f>C118/76</f>
        <v>1.3157894736842105E-2</v>
      </c>
      <c r="E118" s="45"/>
      <c r="F118" s="25" t="s">
        <v>72</v>
      </c>
      <c r="G118" s="15">
        <v>8</v>
      </c>
      <c r="H118" s="162">
        <v>0.1</v>
      </c>
    </row>
    <row r="119" spans="1:8" x14ac:dyDescent="0.3">
      <c r="A119" s="25" t="s">
        <v>75</v>
      </c>
      <c r="B119" s="15" t="s">
        <v>72</v>
      </c>
      <c r="C119" s="15">
        <v>6</v>
      </c>
      <c r="D119" s="162">
        <f t="shared" ref="D119:D138" si="11">C119/76</f>
        <v>7.8947368421052627E-2</v>
      </c>
      <c r="E119" s="45"/>
      <c r="F119" s="101" t="s">
        <v>76</v>
      </c>
      <c r="G119" s="15">
        <v>27</v>
      </c>
      <c r="H119" s="162">
        <f t="shared" ref="H119:H122" si="12">G119/76</f>
        <v>0.35526315789473684</v>
      </c>
    </row>
    <row r="120" spans="1:8" x14ac:dyDescent="0.3">
      <c r="A120" s="25" t="s">
        <v>77</v>
      </c>
      <c r="B120" s="15" t="s">
        <v>72</v>
      </c>
      <c r="C120" s="15">
        <v>1</v>
      </c>
      <c r="D120" s="162">
        <f t="shared" si="11"/>
        <v>1.3157894736842105E-2</v>
      </c>
      <c r="E120" s="45"/>
      <c r="F120" s="25" t="s">
        <v>78</v>
      </c>
      <c r="G120" s="15">
        <v>8</v>
      </c>
      <c r="H120" s="162">
        <f t="shared" si="12"/>
        <v>0.10526315789473684</v>
      </c>
    </row>
    <row r="121" spans="1:8" x14ac:dyDescent="0.3">
      <c r="A121" s="25" t="s">
        <v>115</v>
      </c>
      <c r="B121" s="15" t="s">
        <v>76</v>
      </c>
      <c r="C121" s="15">
        <v>4</v>
      </c>
      <c r="D121" s="162">
        <f t="shared" si="11"/>
        <v>5.2631578947368418E-2</v>
      </c>
      <c r="E121" s="45"/>
      <c r="F121" s="25" t="s">
        <v>79</v>
      </c>
      <c r="G121" s="15">
        <v>14</v>
      </c>
      <c r="H121" s="162">
        <f t="shared" si="12"/>
        <v>0.18421052631578946</v>
      </c>
    </row>
    <row r="122" spans="1:8" ht="14.5" thickBot="1" x14ac:dyDescent="0.35">
      <c r="A122" s="25" t="s">
        <v>85</v>
      </c>
      <c r="B122" s="15" t="s">
        <v>76</v>
      </c>
      <c r="C122" s="15">
        <v>3</v>
      </c>
      <c r="D122" s="162">
        <f t="shared" si="11"/>
        <v>3.9473684210526314E-2</v>
      </c>
      <c r="E122" s="45"/>
      <c r="F122" s="34" t="s">
        <v>81</v>
      </c>
      <c r="G122" s="24">
        <v>19</v>
      </c>
      <c r="H122" s="184">
        <f t="shared" si="12"/>
        <v>0.25</v>
      </c>
    </row>
    <row r="123" spans="1:8" x14ac:dyDescent="0.3">
      <c r="A123" s="25" t="s">
        <v>87</v>
      </c>
      <c r="B123" s="15" t="s">
        <v>76</v>
      </c>
      <c r="C123" s="15">
        <v>2</v>
      </c>
      <c r="D123" s="162">
        <f t="shared" si="11"/>
        <v>2.6315789473684209E-2</v>
      </c>
      <c r="E123" s="45"/>
      <c r="H123" s="17"/>
    </row>
    <row r="124" spans="1:8" x14ac:dyDescent="0.3">
      <c r="A124" s="25" t="s">
        <v>90</v>
      </c>
      <c r="B124" s="15" t="s">
        <v>76</v>
      </c>
      <c r="C124" s="15">
        <v>12</v>
      </c>
      <c r="D124" s="162">
        <f t="shared" si="11"/>
        <v>0.15789473684210525</v>
      </c>
      <c r="E124" s="45"/>
    </row>
    <row r="125" spans="1:8" x14ac:dyDescent="0.3">
      <c r="A125" s="25" t="s">
        <v>91</v>
      </c>
      <c r="B125" s="15" t="s">
        <v>76</v>
      </c>
      <c r="C125" s="15">
        <v>2</v>
      </c>
      <c r="D125" s="162">
        <f t="shared" si="11"/>
        <v>2.6315789473684209E-2</v>
      </c>
      <c r="E125" s="45"/>
    </row>
    <row r="126" spans="1:8" x14ac:dyDescent="0.3">
      <c r="A126" s="25" t="s">
        <v>92</v>
      </c>
      <c r="B126" s="15" t="s">
        <v>76</v>
      </c>
      <c r="C126" s="15">
        <v>3</v>
      </c>
      <c r="D126" s="162">
        <f t="shared" si="11"/>
        <v>3.9473684210526314E-2</v>
      </c>
    </row>
    <row r="127" spans="1:8" x14ac:dyDescent="0.3">
      <c r="A127" s="25" t="s">
        <v>93</v>
      </c>
      <c r="B127" s="15" t="s">
        <v>76</v>
      </c>
      <c r="C127" s="15">
        <v>1</v>
      </c>
      <c r="D127" s="162">
        <f t="shared" si="11"/>
        <v>1.3157894736842105E-2</v>
      </c>
    </row>
    <row r="128" spans="1:8" x14ac:dyDescent="0.3">
      <c r="A128" s="25" t="s">
        <v>94</v>
      </c>
      <c r="B128" s="15" t="s">
        <v>78</v>
      </c>
      <c r="C128" s="15">
        <v>2</v>
      </c>
      <c r="D128" s="162">
        <f t="shared" si="11"/>
        <v>2.6315789473684209E-2</v>
      </c>
    </row>
    <row r="129" spans="1:4" x14ac:dyDescent="0.3">
      <c r="A129" s="25" t="s">
        <v>95</v>
      </c>
      <c r="B129" s="15" t="s">
        <v>78</v>
      </c>
      <c r="C129" s="15">
        <v>3</v>
      </c>
      <c r="D129" s="162">
        <f t="shared" si="11"/>
        <v>3.9473684210526314E-2</v>
      </c>
    </row>
    <row r="130" spans="1:4" x14ac:dyDescent="0.3">
      <c r="A130" s="25" t="s">
        <v>96</v>
      </c>
      <c r="B130" s="15" t="s">
        <v>78</v>
      </c>
      <c r="C130" s="15">
        <v>3</v>
      </c>
      <c r="D130" s="162">
        <f t="shared" si="11"/>
        <v>3.9473684210526314E-2</v>
      </c>
    </row>
    <row r="131" spans="1:4" x14ac:dyDescent="0.3">
      <c r="A131" s="25" t="s">
        <v>97</v>
      </c>
      <c r="B131" s="15" t="s">
        <v>79</v>
      </c>
      <c r="C131" s="15">
        <v>3</v>
      </c>
      <c r="D131" s="162">
        <f t="shared" si="11"/>
        <v>3.9473684210526314E-2</v>
      </c>
    </row>
    <row r="132" spans="1:4" x14ac:dyDescent="0.3">
      <c r="A132" s="25" t="s">
        <v>99</v>
      </c>
      <c r="B132" s="15" t="s">
        <v>79</v>
      </c>
      <c r="C132" s="15">
        <v>1</v>
      </c>
      <c r="D132" s="162">
        <f t="shared" si="11"/>
        <v>1.3157894736842105E-2</v>
      </c>
    </row>
    <row r="133" spans="1:4" x14ac:dyDescent="0.3">
      <c r="A133" s="25" t="s">
        <v>100</v>
      </c>
      <c r="B133" s="15" t="s">
        <v>79</v>
      </c>
      <c r="C133" s="15">
        <v>6</v>
      </c>
      <c r="D133" s="162">
        <f t="shared" si="11"/>
        <v>7.8947368421052627E-2</v>
      </c>
    </row>
    <row r="134" spans="1:4" x14ac:dyDescent="0.3">
      <c r="A134" s="25" t="s">
        <v>101</v>
      </c>
      <c r="B134" s="15" t="s">
        <v>79</v>
      </c>
      <c r="C134" s="15">
        <v>2</v>
      </c>
      <c r="D134" s="162">
        <f t="shared" si="11"/>
        <v>2.6315789473684209E-2</v>
      </c>
    </row>
    <row r="135" spans="1:4" x14ac:dyDescent="0.3">
      <c r="A135" s="25" t="s">
        <v>103</v>
      </c>
      <c r="B135" s="15" t="s">
        <v>79</v>
      </c>
      <c r="C135" s="15">
        <v>2</v>
      </c>
      <c r="D135" s="162">
        <f t="shared" si="11"/>
        <v>2.6315789473684209E-2</v>
      </c>
    </row>
    <row r="136" spans="1:4" x14ac:dyDescent="0.3">
      <c r="A136" s="25" t="s">
        <v>138</v>
      </c>
      <c r="B136" s="15" t="s">
        <v>81</v>
      </c>
      <c r="C136" s="15">
        <v>4</v>
      </c>
      <c r="D136" s="162">
        <f t="shared" si="11"/>
        <v>5.2631578947368418E-2</v>
      </c>
    </row>
    <row r="137" spans="1:4" x14ac:dyDescent="0.3">
      <c r="A137" s="25" t="s">
        <v>107</v>
      </c>
      <c r="B137" s="15" t="s">
        <v>81</v>
      </c>
      <c r="C137" s="15">
        <v>15</v>
      </c>
      <c r="D137" s="162">
        <f t="shared" si="11"/>
        <v>0.19736842105263158</v>
      </c>
    </row>
    <row r="138" spans="1:4" x14ac:dyDescent="0.3">
      <c r="A138" s="25" t="s">
        <v>108</v>
      </c>
      <c r="B138" s="25" t="s">
        <v>81</v>
      </c>
      <c r="C138" s="15">
        <v>0</v>
      </c>
      <c r="D138" s="162">
        <f t="shared" si="11"/>
        <v>0</v>
      </c>
    </row>
    <row r="139" spans="1:4" ht="14.5" thickBot="1" x14ac:dyDescent="0.35">
      <c r="A139" s="34" t="s">
        <v>109</v>
      </c>
      <c r="B139" s="24" t="s">
        <v>125</v>
      </c>
      <c r="C139" s="24">
        <v>1</v>
      </c>
      <c r="D139" s="169" t="s">
        <v>111</v>
      </c>
    </row>
    <row r="140" spans="1:4" x14ac:dyDescent="0.3">
      <c r="A140" s="37"/>
      <c r="B140" s="37"/>
      <c r="C140" s="37"/>
      <c r="D140" s="219"/>
    </row>
    <row r="141" spans="1:4" x14ac:dyDescent="0.3">
      <c r="A141" s="37"/>
      <c r="B141" s="37"/>
      <c r="C141" s="37"/>
      <c r="D141" s="219"/>
    </row>
    <row r="142" spans="1:4" x14ac:dyDescent="0.3">
      <c r="A142" s="37"/>
      <c r="B142" s="37"/>
      <c r="C142" s="37"/>
      <c r="D142" s="219"/>
    </row>
    <row r="143" spans="1:4" x14ac:dyDescent="0.3">
      <c r="A143" s="37"/>
      <c r="C143" s="17"/>
    </row>
    <row r="144" spans="1:4" x14ac:dyDescent="0.3">
      <c r="A144" s="37"/>
      <c r="C144" s="17"/>
    </row>
    <row r="145" spans="1:8" ht="14.5" thickBot="1" x14ac:dyDescent="0.35">
      <c r="D145" s="14"/>
    </row>
    <row r="146" spans="1:8" x14ac:dyDescent="0.3">
      <c r="A146" s="49" t="s">
        <v>112</v>
      </c>
      <c r="B146" s="73" t="s">
        <v>68</v>
      </c>
      <c r="C146" s="9" t="s">
        <v>49</v>
      </c>
      <c r="D146" s="58" t="s">
        <v>50</v>
      </c>
      <c r="E146" s="44"/>
      <c r="F146" s="163" t="s">
        <v>113</v>
      </c>
      <c r="G146" s="9" t="s">
        <v>114</v>
      </c>
      <c r="H146" s="58" t="s">
        <v>50</v>
      </c>
    </row>
    <row r="147" spans="1:8" x14ac:dyDescent="0.3">
      <c r="A147" s="25" t="s">
        <v>71</v>
      </c>
      <c r="B147" s="15" t="s">
        <v>72</v>
      </c>
      <c r="C147" s="15">
        <v>4</v>
      </c>
      <c r="D147" s="162">
        <f>C147/22</f>
        <v>0.18181818181818182</v>
      </c>
      <c r="E147" s="45"/>
      <c r="F147" s="25" t="s">
        <v>72</v>
      </c>
      <c r="G147" s="15">
        <v>12</v>
      </c>
      <c r="H147" s="162">
        <f t="shared" ref="H147:H150" si="13">G147/22</f>
        <v>0.54545454545454541</v>
      </c>
    </row>
    <row r="148" spans="1:8" x14ac:dyDescent="0.3">
      <c r="A148" s="25" t="s">
        <v>75</v>
      </c>
      <c r="B148" s="15" t="s">
        <v>72</v>
      </c>
      <c r="C148" s="15">
        <v>7</v>
      </c>
      <c r="D148" s="162">
        <f t="shared" ref="D148:D154" si="14">C148/22</f>
        <v>0.31818181818181818</v>
      </c>
      <c r="E148" s="45"/>
      <c r="F148" s="101" t="s">
        <v>76</v>
      </c>
      <c r="G148" s="15">
        <v>2</v>
      </c>
      <c r="H148" s="162">
        <f t="shared" si="13"/>
        <v>9.0909090909090912E-2</v>
      </c>
    </row>
    <row r="149" spans="1:8" x14ac:dyDescent="0.3">
      <c r="A149" s="25" t="s">
        <v>77</v>
      </c>
      <c r="B149" s="15" t="s">
        <v>72</v>
      </c>
      <c r="C149" s="15">
        <v>1</v>
      </c>
      <c r="D149" s="162">
        <f t="shared" si="14"/>
        <v>4.5454545454545456E-2</v>
      </c>
      <c r="E149" s="45"/>
      <c r="F149" s="25" t="s">
        <v>79</v>
      </c>
      <c r="G149" s="15">
        <v>1</v>
      </c>
      <c r="H149" s="162">
        <v>0.04</v>
      </c>
    </row>
    <row r="150" spans="1:8" ht="14.5" thickBot="1" x14ac:dyDescent="0.35">
      <c r="A150" s="25" t="s">
        <v>90</v>
      </c>
      <c r="B150" s="15" t="s">
        <v>76</v>
      </c>
      <c r="C150" s="15">
        <v>2</v>
      </c>
      <c r="D150" s="162">
        <f t="shared" si="14"/>
        <v>9.0909090909090912E-2</v>
      </c>
      <c r="E150" s="45"/>
      <c r="F150" s="34" t="s">
        <v>81</v>
      </c>
      <c r="G150" s="24">
        <v>7</v>
      </c>
      <c r="H150" s="184">
        <f t="shared" si="13"/>
        <v>0.31818181818181818</v>
      </c>
    </row>
    <row r="151" spans="1:8" x14ac:dyDescent="0.3">
      <c r="A151" s="25" t="s">
        <v>100</v>
      </c>
      <c r="B151" s="15" t="s">
        <v>79</v>
      </c>
      <c r="C151" s="15">
        <v>1</v>
      </c>
      <c r="D151" s="162">
        <f t="shared" si="14"/>
        <v>4.5454545454545456E-2</v>
      </c>
      <c r="E151" s="45"/>
      <c r="H151" s="17"/>
    </row>
    <row r="152" spans="1:8" x14ac:dyDescent="0.3">
      <c r="A152" s="25" t="s">
        <v>139</v>
      </c>
      <c r="B152" s="15" t="s">
        <v>81</v>
      </c>
      <c r="C152" s="15">
        <v>1</v>
      </c>
      <c r="D152" s="162">
        <f t="shared" si="14"/>
        <v>4.5454545454545456E-2</v>
      </c>
      <c r="E152" s="45"/>
      <c r="H152" s="17"/>
    </row>
    <row r="153" spans="1:8" x14ac:dyDescent="0.3">
      <c r="A153" s="25" t="s">
        <v>106</v>
      </c>
      <c r="B153" s="15" t="s">
        <v>81</v>
      </c>
      <c r="C153" s="15">
        <v>1</v>
      </c>
      <c r="D153" s="162">
        <f t="shared" si="14"/>
        <v>4.5454545454545456E-2</v>
      </c>
      <c r="E153" s="45"/>
    </row>
    <row r="154" spans="1:8" x14ac:dyDescent="0.3">
      <c r="A154" s="25" t="s">
        <v>140</v>
      </c>
      <c r="B154" s="15" t="s">
        <v>81</v>
      </c>
      <c r="C154" s="15">
        <v>5</v>
      </c>
      <c r="D154" s="162">
        <f t="shared" si="14"/>
        <v>0.22727272727272727</v>
      </c>
      <c r="E154" s="45"/>
    </row>
    <row r="155" spans="1:8" ht="14.5" thickBot="1" x14ac:dyDescent="0.35">
      <c r="A155" s="34" t="s">
        <v>109</v>
      </c>
      <c r="B155" s="34" t="s">
        <v>125</v>
      </c>
      <c r="C155" s="24">
        <v>2</v>
      </c>
      <c r="D155" s="169" t="s">
        <v>111</v>
      </c>
      <c r="E155" s="45"/>
    </row>
    <row r="156" spans="1:8" x14ac:dyDescent="0.3">
      <c r="A156" s="37"/>
      <c r="B156" s="37"/>
      <c r="C156" s="37"/>
      <c r="D156" s="219"/>
      <c r="E156" s="45"/>
    </row>
    <row r="157" spans="1:8" x14ac:dyDescent="0.3">
      <c r="A157" s="37"/>
      <c r="B157" s="37"/>
      <c r="C157" s="37"/>
      <c r="D157" s="219"/>
      <c r="E157" s="45"/>
    </row>
    <row r="158" spans="1:8" x14ac:dyDescent="0.3">
      <c r="A158" s="37"/>
      <c r="B158" s="37"/>
      <c r="C158" s="37"/>
      <c r="D158" s="219"/>
      <c r="E158" s="45"/>
    </row>
    <row r="159" spans="1:8" x14ac:dyDescent="0.3">
      <c r="A159" s="37"/>
      <c r="B159" s="37"/>
      <c r="C159" s="37"/>
      <c r="D159" s="219"/>
      <c r="E159" s="45"/>
    </row>
    <row r="160" spans="1:8" x14ac:dyDescent="0.3">
      <c r="A160" s="37"/>
      <c r="B160" s="37"/>
      <c r="C160" s="37"/>
      <c r="D160" s="219"/>
      <c r="E160" s="45"/>
    </row>
    <row r="161" spans="1:8" x14ac:dyDescent="0.3">
      <c r="A161" s="37"/>
      <c r="B161" s="37"/>
      <c r="C161" s="37"/>
      <c r="D161" s="219"/>
      <c r="E161" s="45"/>
    </row>
    <row r="162" spans="1:8" x14ac:dyDescent="0.3">
      <c r="A162" s="37"/>
      <c r="B162" s="37"/>
      <c r="C162" s="37"/>
      <c r="D162" s="219"/>
      <c r="E162" s="45"/>
    </row>
    <row r="163" spans="1:8" x14ac:dyDescent="0.3">
      <c r="A163" s="37"/>
      <c r="B163" s="37"/>
      <c r="C163" s="37"/>
      <c r="D163" s="219"/>
      <c r="E163" s="45"/>
    </row>
    <row r="164" spans="1:8" x14ac:dyDescent="0.3">
      <c r="A164" s="37"/>
      <c r="B164" s="37"/>
      <c r="C164" s="37"/>
      <c r="D164" s="219"/>
      <c r="E164" s="45"/>
    </row>
    <row r="165" spans="1:8" x14ac:dyDescent="0.3">
      <c r="A165" s="37"/>
      <c r="B165" s="37"/>
      <c r="C165" s="37"/>
      <c r="D165" s="219"/>
      <c r="E165" s="45"/>
    </row>
    <row r="166" spans="1:8" x14ac:dyDescent="0.3">
      <c r="A166" s="37"/>
      <c r="B166" s="37"/>
      <c r="C166" s="37"/>
      <c r="D166" s="219"/>
      <c r="E166" s="45"/>
    </row>
    <row r="167" spans="1:8" x14ac:dyDescent="0.3">
      <c r="A167" s="37"/>
      <c r="B167" s="37"/>
      <c r="C167" s="37"/>
      <c r="D167" s="219"/>
      <c r="E167" s="45"/>
    </row>
    <row r="168" spans="1:8" x14ac:dyDescent="0.3">
      <c r="A168" s="37"/>
      <c r="B168" s="37"/>
      <c r="C168" s="37"/>
      <c r="D168" s="219"/>
      <c r="E168" s="45"/>
    </row>
    <row r="169" spans="1:8" x14ac:dyDescent="0.3">
      <c r="A169" s="37"/>
      <c r="B169" s="37"/>
      <c r="C169" s="37"/>
      <c r="D169" s="219"/>
      <c r="E169" s="45"/>
    </row>
    <row r="170" spans="1:8" x14ac:dyDescent="0.3">
      <c r="A170" s="37"/>
      <c r="B170" s="37"/>
      <c r="C170" s="37"/>
      <c r="D170" s="219"/>
      <c r="E170" s="45"/>
    </row>
    <row r="171" spans="1:8" x14ac:dyDescent="0.3">
      <c r="A171" s="37"/>
      <c r="B171" s="37"/>
      <c r="C171" s="37"/>
      <c r="D171" s="219"/>
      <c r="E171" s="45"/>
    </row>
    <row r="172" spans="1:8" ht="14.5" thickBot="1" x14ac:dyDescent="0.35">
      <c r="A172" s="37"/>
      <c r="B172" s="37"/>
      <c r="C172" s="37"/>
      <c r="D172" s="219"/>
      <c r="E172" s="45"/>
    </row>
    <row r="173" spans="1:8" x14ac:dyDescent="0.3">
      <c r="A173" s="8" t="s">
        <v>119</v>
      </c>
      <c r="B173" s="73" t="s">
        <v>68</v>
      </c>
      <c r="C173" s="9" t="s">
        <v>49</v>
      </c>
      <c r="D173" s="57" t="s">
        <v>50</v>
      </c>
      <c r="F173" s="163" t="s">
        <v>120</v>
      </c>
      <c r="G173" s="9" t="s">
        <v>114</v>
      </c>
      <c r="H173" s="58" t="s">
        <v>50</v>
      </c>
    </row>
    <row r="174" spans="1:8" x14ac:dyDescent="0.3">
      <c r="A174" s="25" t="s">
        <v>71</v>
      </c>
      <c r="B174" s="25" t="s">
        <v>72</v>
      </c>
      <c r="C174" s="15">
        <v>172</v>
      </c>
      <c r="D174" s="162">
        <f>C174/514</f>
        <v>0.33463035019455251</v>
      </c>
      <c r="F174" s="25" t="s">
        <v>72</v>
      </c>
      <c r="G174" s="15">
        <v>193</v>
      </c>
      <c r="H174" s="162">
        <f t="shared" ref="H174:H179" si="15">G174/514</f>
        <v>0.3754863813229572</v>
      </c>
    </row>
    <row r="175" spans="1:8" x14ac:dyDescent="0.3">
      <c r="A175" s="25" t="s">
        <v>73</v>
      </c>
      <c r="B175" s="15" t="s">
        <v>72</v>
      </c>
      <c r="C175" s="15">
        <v>2</v>
      </c>
      <c r="D175" s="162">
        <f t="shared" ref="D175:D197" si="16">C175/514</f>
        <v>3.8910505836575876E-3</v>
      </c>
      <c r="E175" s="42"/>
      <c r="F175" s="25" t="s">
        <v>74</v>
      </c>
      <c r="G175" s="15">
        <v>1</v>
      </c>
      <c r="H175" s="162">
        <f t="shared" si="15"/>
        <v>1.9455252918287938E-3</v>
      </c>
    </row>
    <row r="176" spans="1:8" x14ac:dyDescent="0.3">
      <c r="A176" s="25" t="s">
        <v>75</v>
      </c>
      <c r="B176" s="15" t="s">
        <v>72</v>
      </c>
      <c r="C176" s="15">
        <v>16</v>
      </c>
      <c r="D176" s="162">
        <f t="shared" si="16"/>
        <v>3.1128404669260701E-2</v>
      </c>
      <c r="E176" s="43"/>
      <c r="F176" s="101" t="s">
        <v>76</v>
      </c>
      <c r="G176" s="15">
        <v>11</v>
      </c>
      <c r="H176" s="162">
        <f t="shared" si="15"/>
        <v>2.1400778210116732E-2</v>
      </c>
    </row>
    <row r="177" spans="1:8" x14ac:dyDescent="0.3">
      <c r="A177" s="25" t="s">
        <v>77</v>
      </c>
      <c r="B177" s="15" t="s">
        <v>72</v>
      </c>
      <c r="C177" s="15">
        <v>3</v>
      </c>
      <c r="D177" s="162">
        <f t="shared" si="16"/>
        <v>5.8365758754863814E-3</v>
      </c>
      <c r="E177" s="43"/>
      <c r="F177" s="25" t="s">
        <v>78</v>
      </c>
      <c r="G177" s="15">
        <v>1</v>
      </c>
      <c r="H177" s="162">
        <f t="shared" si="15"/>
        <v>1.9455252918287938E-3</v>
      </c>
    </row>
    <row r="178" spans="1:8" x14ac:dyDescent="0.3">
      <c r="A178" s="25" t="s">
        <v>74</v>
      </c>
      <c r="B178" s="15" t="s">
        <v>74</v>
      </c>
      <c r="C178" s="15">
        <v>1</v>
      </c>
      <c r="D178" s="162">
        <f t="shared" si="16"/>
        <v>1.9455252918287938E-3</v>
      </c>
      <c r="E178" s="43"/>
      <c r="F178" s="25" t="s">
        <v>79</v>
      </c>
      <c r="G178" s="15">
        <v>230</v>
      </c>
      <c r="H178" s="162">
        <f t="shared" si="15"/>
        <v>0.44747081712062259</v>
      </c>
    </row>
    <row r="179" spans="1:8" ht="14.5" thickBot="1" x14ac:dyDescent="0.35">
      <c r="A179" s="25" t="s">
        <v>82</v>
      </c>
      <c r="B179" s="15" t="s">
        <v>76</v>
      </c>
      <c r="C179" s="15">
        <v>1</v>
      </c>
      <c r="D179" s="162">
        <f t="shared" si="16"/>
        <v>1.9455252918287938E-3</v>
      </c>
      <c r="E179" s="43"/>
      <c r="F179" s="34" t="s">
        <v>81</v>
      </c>
      <c r="G179" s="24">
        <v>78</v>
      </c>
      <c r="H179" s="184">
        <f t="shared" si="15"/>
        <v>0.1517509727626459</v>
      </c>
    </row>
    <row r="180" spans="1:8" x14ac:dyDescent="0.3">
      <c r="A180" s="25" t="s">
        <v>85</v>
      </c>
      <c r="B180" s="15" t="s">
        <v>76</v>
      </c>
      <c r="C180" s="15">
        <v>2</v>
      </c>
      <c r="D180" s="162">
        <f t="shared" si="16"/>
        <v>3.8910505836575876E-3</v>
      </c>
      <c r="E180" s="43"/>
    </row>
    <row r="181" spans="1:8" x14ac:dyDescent="0.3">
      <c r="A181" s="25" t="s">
        <v>86</v>
      </c>
      <c r="B181" s="15" t="s">
        <v>76</v>
      </c>
      <c r="C181" s="15">
        <v>1</v>
      </c>
      <c r="D181" s="162">
        <f t="shared" si="16"/>
        <v>1.9455252918287938E-3</v>
      </c>
      <c r="E181" s="43"/>
    </row>
    <row r="182" spans="1:8" x14ac:dyDescent="0.3">
      <c r="A182" s="25" t="s">
        <v>87</v>
      </c>
      <c r="B182" s="15" t="s">
        <v>76</v>
      </c>
      <c r="C182" s="15">
        <v>1</v>
      </c>
      <c r="D182" s="162">
        <f t="shared" si="16"/>
        <v>1.9455252918287938E-3</v>
      </c>
    </row>
    <row r="183" spans="1:8" x14ac:dyDescent="0.3">
      <c r="A183" s="25" t="s">
        <v>89</v>
      </c>
      <c r="B183" s="15" t="s">
        <v>76</v>
      </c>
      <c r="C183" s="15">
        <v>2</v>
      </c>
      <c r="D183" s="162">
        <f t="shared" si="16"/>
        <v>3.8910505836575876E-3</v>
      </c>
    </row>
    <row r="184" spans="1:8" x14ac:dyDescent="0.3">
      <c r="A184" s="25" t="s">
        <v>91</v>
      </c>
      <c r="B184" s="15" t="s">
        <v>76</v>
      </c>
      <c r="C184" s="15">
        <v>1</v>
      </c>
      <c r="D184" s="162">
        <f t="shared" si="16"/>
        <v>1.9455252918287938E-3</v>
      </c>
    </row>
    <row r="185" spans="1:8" x14ac:dyDescent="0.3">
      <c r="A185" s="25" t="s">
        <v>92</v>
      </c>
      <c r="B185" s="15" t="s">
        <v>76</v>
      </c>
      <c r="C185" s="15">
        <v>1</v>
      </c>
      <c r="D185" s="162">
        <f t="shared" si="16"/>
        <v>1.9455252918287938E-3</v>
      </c>
    </row>
    <row r="186" spans="1:8" x14ac:dyDescent="0.3">
      <c r="A186" s="25" t="s">
        <v>93</v>
      </c>
      <c r="B186" s="15" t="s">
        <v>76</v>
      </c>
      <c r="C186" s="15">
        <v>2</v>
      </c>
      <c r="D186" s="162">
        <f t="shared" si="16"/>
        <v>3.8910505836575876E-3</v>
      </c>
    </row>
    <row r="187" spans="1:8" x14ac:dyDescent="0.3">
      <c r="A187" s="25" t="s">
        <v>96</v>
      </c>
      <c r="B187" s="15" t="s">
        <v>78</v>
      </c>
      <c r="C187" s="15">
        <v>1</v>
      </c>
      <c r="D187" s="162">
        <f t="shared" si="16"/>
        <v>1.9455252918287938E-3</v>
      </c>
    </row>
    <row r="188" spans="1:8" x14ac:dyDescent="0.3">
      <c r="A188" s="25" t="s">
        <v>123</v>
      </c>
      <c r="B188" s="15" t="s">
        <v>79</v>
      </c>
      <c r="C188" s="15">
        <v>1</v>
      </c>
      <c r="D188" s="162">
        <f t="shared" si="16"/>
        <v>1.9455252918287938E-3</v>
      </c>
    </row>
    <row r="189" spans="1:8" x14ac:dyDescent="0.3">
      <c r="A189" s="25" t="s">
        <v>98</v>
      </c>
      <c r="B189" s="15" t="s">
        <v>79</v>
      </c>
      <c r="C189" s="15">
        <v>16</v>
      </c>
      <c r="D189" s="162">
        <f t="shared" si="16"/>
        <v>3.1128404669260701E-2</v>
      </c>
    </row>
    <row r="190" spans="1:8" x14ac:dyDescent="0.3">
      <c r="A190" s="25" t="s">
        <v>99</v>
      </c>
      <c r="B190" s="15" t="s">
        <v>79</v>
      </c>
      <c r="C190" s="15">
        <v>12</v>
      </c>
      <c r="D190" s="162">
        <f t="shared" si="16"/>
        <v>2.3346303501945526E-2</v>
      </c>
    </row>
    <row r="191" spans="1:8" x14ac:dyDescent="0.3">
      <c r="A191" s="25" t="s">
        <v>102</v>
      </c>
      <c r="B191" s="15" t="s">
        <v>79</v>
      </c>
      <c r="C191" s="15">
        <v>21</v>
      </c>
      <c r="D191" s="162">
        <f t="shared" si="16"/>
        <v>4.085603112840467E-2</v>
      </c>
    </row>
    <row r="192" spans="1:8" x14ac:dyDescent="0.3">
      <c r="A192" s="25" t="s">
        <v>103</v>
      </c>
      <c r="B192" s="15" t="s">
        <v>79</v>
      </c>
      <c r="C192" s="15">
        <v>170</v>
      </c>
      <c r="D192" s="162">
        <f t="shared" si="16"/>
        <v>0.33073929961089493</v>
      </c>
    </row>
    <row r="193" spans="1:8" x14ac:dyDescent="0.3">
      <c r="A193" s="25" t="s">
        <v>104</v>
      </c>
      <c r="B193" s="15" t="s">
        <v>79</v>
      </c>
      <c r="C193" s="15">
        <v>10</v>
      </c>
      <c r="D193" s="162">
        <f t="shared" si="16"/>
        <v>1.9455252918287938E-2</v>
      </c>
    </row>
    <row r="194" spans="1:8" x14ac:dyDescent="0.3">
      <c r="A194" s="25" t="s">
        <v>138</v>
      </c>
      <c r="B194" s="15" t="s">
        <v>81</v>
      </c>
      <c r="C194" s="15">
        <v>36</v>
      </c>
      <c r="D194" s="162">
        <f t="shared" si="16"/>
        <v>7.0038910505836577E-2</v>
      </c>
    </row>
    <row r="195" spans="1:8" x14ac:dyDescent="0.3">
      <c r="A195" s="25" t="s">
        <v>106</v>
      </c>
      <c r="B195" s="15" t="s">
        <v>81</v>
      </c>
      <c r="C195" s="15">
        <v>19</v>
      </c>
      <c r="D195" s="162">
        <f t="shared" si="16"/>
        <v>3.6964980544747082E-2</v>
      </c>
    </row>
    <row r="196" spans="1:8" x14ac:dyDescent="0.3">
      <c r="A196" s="25" t="s">
        <v>107</v>
      </c>
      <c r="B196" s="15" t="s">
        <v>81</v>
      </c>
      <c r="C196" s="15">
        <v>1</v>
      </c>
      <c r="D196" s="162">
        <f t="shared" si="16"/>
        <v>1.9455252918287938E-3</v>
      </c>
    </row>
    <row r="197" spans="1:8" x14ac:dyDescent="0.3">
      <c r="A197" s="25" t="s">
        <v>108</v>
      </c>
      <c r="B197" s="25" t="s">
        <v>81</v>
      </c>
      <c r="C197" s="15">
        <v>22</v>
      </c>
      <c r="D197" s="162">
        <f t="shared" si="16"/>
        <v>4.2801556420233464E-2</v>
      </c>
    </row>
    <row r="198" spans="1:8" ht="14.5" thickBot="1" x14ac:dyDescent="0.35">
      <c r="A198" s="34" t="s">
        <v>109</v>
      </c>
      <c r="B198" s="24" t="s">
        <v>125</v>
      </c>
      <c r="C198" s="24">
        <v>2</v>
      </c>
      <c r="D198" s="169" t="s">
        <v>111</v>
      </c>
    </row>
    <row r="199" spans="1:8" x14ac:dyDescent="0.3">
      <c r="A199" s="104"/>
      <c r="B199" s="37"/>
      <c r="C199" s="37"/>
      <c r="D199" s="219"/>
    </row>
    <row r="200" spans="1:8" x14ac:dyDescent="0.3">
      <c r="A200" s="104"/>
      <c r="B200" s="37"/>
      <c r="C200" s="37"/>
      <c r="D200" s="219"/>
    </row>
    <row r="201" spans="1:8" x14ac:dyDescent="0.3">
      <c r="A201" s="104"/>
      <c r="B201" s="37"/>
      <c r="C201" s="37"/>
      <c r="D201" s="219"/>
    </row>
    <row r="202" spans="1:8" ht="14.5" thickBot="1" x14ac:dyDescent="0.35">
      <c r="A202" s="104"/>
      <c r="B202" s="37"/>
      <c r="C202" s="37"/>
      <c r="D202" s="219"/>
    </row>
    <row r="203" spans="1:8" x14ac:dyDescent="0.3">
      <c r="A203" s="8" t="s">
        <v>126</v>
      </c>
      <c r="B203" s="9" t="s">
        <v>68</v>
      </c>
      <c r="C203" s="9" t="s">
        <v>49</v>
      </c>
      <c r="D203" s="58" t="s">
        <v>50</v>
      </c>
      <c r="F203" s="163" t="s">
        <v>127</v>
      </c>
      <c r="G203" s="9" t="s">
        <v>114</v>
      </c>
      <c r="H203" s="58" t="s">
        <v>50</v>
      </c>
    </row>
    <row r="204" spans="1:8" x14ac:dyDescent="0.3">
      <c r="A204" s="25" t="s">
        <v>71</v>
      </c>
      <c r="B204" s="15" t="s">
        <v>72</v>
      </c>
      <c r="C204" s="15">
        <v>36</v>
      </c>
      <c r="D204" s="162">
        <f>C204/326</f>
        <v>0.11042944785276074</v>
      </c>
      <c r="F204" s="25" t="s">
        <v>72</v>
      </c>
      <c r="G204" s="15">
        <v>53</v>
      </c>
      <c r="H204" s="162">
        <f t="shared" ref="H204:H209" si="17">G204/326</f>
        <v>0.16257668711656442</v>
      </c>
    </row>
    <row r="205" spans="1:8" x14ac:dyDescent="0.3">
      <c r="A205" s="25" t="s">
        <v>73</v>
      </c>
      <c r="B205" s="15" t="s">
        <v>72</v>
      </c>
      <c r="C205" s="15">
        <v>4</v>
      </c>
      <c r="D205" s="162">
        <f t="shared" ref="D205:D229" si="18">C205/326</f>
        <v>1.2269938650306749E-2</v>
      </c>
      <c r="E205" s="44"/>
      <c r="F205" s="25" t="s">
        <v>74</v>
      </c>
      <c r="G205" s="15">
        <v>6</v>
      </c>
      <c r="H205" s="162">
        <f t="shared" si="17"/>
        <v>1.8404907975460124E-2</v>
      </c>
    </row>
    <row r="206" spans="1:8" x14ac:dyDescent="0.3">
      <c r="A206" s="25" t="s">
        <v>75</v>
      </c>
      <c r="B206" s="15" t="s">
        <v>72</v>
      </c>
      <c r="C206" s="15">
        <v>10</v>
      </c>
      <c r="D206" s="162">
        <f t="shared" si="18"/>
        <v>3.0674846625766871E-2</v>
      </c>
      <c r="E206" s="45"/>
      <c r="F206" s="101" t="s">
        <v>76</v>
      </c>
      <c r="G206" s="15">
        <v>121</v>
      </c>
      <c r="H206" s="162">
        <f t="shared" si="17"/>
        <v>0.37116564417177916</v>
      </c>
    </row>
    <row r="207" spans="1:8" x14ac:dyDescent="0.3">
      <c r="A207" s="25" t="s">
        <v>77</v>
      </c>
      <c r="B207" s="15" t="s">
        <v>72</v>
      </c>
      <c r="C207" s="15">
        <v>3</v>
      </c>
      <c r="D207" s="162">
        <f t="shared" si="18"/>
        <v>9.202453987730062E-3</v>
      </c>
      <c r="E207" s="45"/>
      <c r="F207" s="25" t="s">
        <v>78</v>
      </c>
      <c r="G207" s="15">
        <v>41</v>
      </c>
      <c r="H207" s="162">
        <f t="shared" si="17"/>
        <v>0.12576687116564417</v>
      </c>
    </row>
    <row r="208" spans="1:8" x14ac:dyDescent="0.3">
      <c r="A208" s="25" t="s">
        <v>74</v>
      </c>
      <c r="B208" s="15" t="s">
        <v>74</v>
      </c>
      <c r="C208" s="15">
        <v>6</v>
      </c>
      <c r="D208" s="162">
        <f t="shared" si="18"/>
        <v>1.8404907975460124E-2</v>
      </c>
      <c r="E208" s="45"/>
      <c r="F208" s="25" t="s">
        <v>79</v>
      </c>
      <c r="G208" s="15">
        <v>64</v>
      </c>
      <c r="H208" s="162">
        <f t="shared" si="17"/>
        <v>0.19631901840490798</v>
      </c>
    </row>
    <row r="209" spans="1:8" ht="14.5" thickBot="1" x14ac:dyDescent="0.35">
      <c r="A209" s="25" t="s">
        <v>115</v>
      </c>
      <c r="B209" s="15" t="s">
        <v>76</v>
      </c>
      <c r="C209" s="15">
        <v>15</v>
      </c>
      <c r="D209" s="162">
        <f t="shared" si="18"/>
        <v>4.6012269938650305E-2</v>
      </c>
      <c r="E209" s="45"/>
      <c r="F209" s="34" t="s">
        <v>81</v>
      </c>
      <c r="G209" s="24">
        <v>41</v>
      </c>
      <c r="H209" s="184">
        <f t="shared" si="17"/>
        <v>0.12576687116564417</v>
      </c>
    </row>
    <row r="210" spans="1:8" x14ac:dyDescent="0.3">
      <c r="A210" s="25" t="s">
        <v>85</v>
      </c>
      <c r="B210" s="15" t="s">
        <v>76</v>
      </c>
      <c r="C210" s="15">
        <v>5</v>
      </c>
      <c r="D210" s="162">
        <f t="shared" si="18"/>
        <v>1.5337423312883436E-2</v>
      </c>
      <c r="E210" s="45"/>
      <c r="H210" s="37"/>
    </row>
    <row r="211" spans="1:8" x14ac:dyDescent="0.3">
      <c r="A211" s="25" t="s">
        <v>87</v>
      </c>
      <c r="B211" s="15" t="s">
        <v>76</v>
      </c>
      <c r="C211" s="15">
        <v>7</v>
      </c>
      <c r="D211" s="162">
        <f t="shared" si="18"/>
        <v>2.1472392638036811E-2</v>
      </c>
      <c r="E211" s="45"/>
    </row>
    <row r="212" spans="1:8" x14ac:dyDescent="0.3">
      <c r="A212" s="25" t="s">
        <v>90</v>
      </c>
      <c r="B212" s="15" t="s">
        <v>76</v>
      </c>
      <c r="C212" s="15">
        <v>48</v>
      </c>
      <c r="D212" s="162">
        <f t="shared" si="18"/>
        <v>0.14723926380368099</v>
      </c>
      <c r="E212" s="45"/>
    </row>
    <row r="213" spans="1:8" x14ac:dyDescent="0.3">
      <c r="A213" s="25" t="s">
        <v>91</v>
      </c>
      <c r="B213" s="15" t="s">
        <v>76</v>
      </c>
      <c r="C213" s="15">
        <v>29</v>
      </c>
      <c r="D213" s="162">
        <f t="shared" si="18"/>
        <v>8.8957055214723926E-2</v>
      </c>
      <c r="E213" s="45"/>
    </row>
    <row r="214" spans="1:8" x14ac:dyDescent="0.3">
      <c r="A214" s="25" t="s">
        <v>92</v>
      </c>
      <c r="B214" s="15" t="s">
        <v>76</v>
      </c>
      <c r="C214" s="15">
        <v>5</v>
      </c>
      <c r="D214" s="162">
        <f t="shared" si="18"/>
        <v>1.5337423312883436E-2</v>
      </c>
      <c r="E214" s="45"/>
    </row>
    <row r="215" spans="1:8" x14ac:dyDescent="0.3">
      <c r="A215" s="25" t="s">
        <v>93</v>
      </c>
      <c r="B215" s="15" t="s">
        <v>76</v>
      </c>
      <c r="C215" s="15">
        <v>12</v>
      </c>
      <c r="D215" s="162">
        <f t="shared" si="18"/>
        <v>3.6809815950920248E-2</v>
      </c>
    </row>
    <row r="216" spans="1:8" x14ac:dyDescent="0.3">
      <c r="A216" s="25" t="s">
        <v>94</v>
      </c>
      <c r="B216" s="15" t="s">
        <v>78</v>
      </c>
      <c r="C216" s="15">
        <v>1</v>
      </c>
      <c r="D216" s="162">
        <f t="shared" si="18"/>
        <v>3.0674846625766872E-3</v>
      </c>
    </row>
    <row r="217" spans="1:8" x14ac:dyDescent="0.3">
      <c r="A217" s="25" t="s">
        <v>95</v>
      </c>
      <c r="B217" s="15" t="s">
        <v>78</v>
      </c>
      <c r="C217" s="15">
        <v>17</v>
      </c>
      <c r="D217" s="162">
        <f t="shared" si="18"/>
        <v>5.2147239263803678E-2</v>
      </c>
    </row>
    <row r="218" spans="1:8" x14ac:dyDescent="0.3">
      <c r="A218" s="25" t="s">
        <v>96</v>
      </c>
      <c r="B218" s="15" t="s">
        <v>78</v>
      </c>
      <c r="C218" s="15">
        <v>23</v>
      </c>
      <c r="D218" s="162">
        <f t="shared" si="18"/>
        <v>7.0552147239263799E-2</v>
      </c>
    </row>
    <row r="219" spans="1:8" x14ac:dyDescent="0.3">
      <c r="A219" s="25" t="s">
        <v>97</v>
      </c>
      <c r="B219" s="15" t="s">
        <v>79</v>
      </c>
      <c r="C219" s="15">
        <v>17</v>
      </c>
      <c r="D219" s="162">
        <f t="shared" si="18"/>
        <v>5.2147239263803678E-2</v>
      </c>
    </row>
    <row r="220" spans="1:8" x14ac:dyDescent="0.3">
      <c r="A220" s="25" t="s">
        <v>98</v>
      </c>
      <c r="B220" s="15" t="s">
        <v>79</v>
      </c>
      <c r="C220" s="15">
        <v>1</v>
      </c>
      <c r="D220" s="162">
        <f t="shared" si="18"/>
        <v>3.0674846625766872E-3</v>
      </c>
    </row>
    <row r="221" spans="1:8" x14ac:dyDescent="0.3">
      <c r="A221" s="25" t="s">
        <v>99</v>
      </c>
      <c r="B221" s="15" t="s">
        <v>79</v>
      </c>
      <c r="C221" s="15">
        <v>15</v>
      </c>
      <c r="D221" s="162">
        <f t="shared" si="18"/>
        <v>4.6012269938650305E-2</v>
      </c>
    </row>
    <row r="222" spans="1:8" x14ac:dyDescent="0.3">
      <c r="A222" s="25" t="s">
        <v>100</v>
      </c>
      <c r="B222" s="15" t="s">
        <v>79</v>
      </c>
      <c r="C222" s="15">
        <v>8</v>
      </c>
      <c r="D222" s="162">
        <f t="shared" si="18"/>
        <v>2.4539877300613498E-2</v>
      </c>
    </row>
    <row r="223" spans="1:8" x14ac:dyDescent="0.3">
      <c r="A223" s="25" t="s">
        <v>101</v>
      </c>
      <c r="B223" s="15" t="s">
        <v>79</v>
      </c>
      <c r="C223" s="15">
        <v>6</v>
      </c>
      <c r="D223" s="162">
        <f t="shared" si="18"/>
        <v>1.8404907975460124E-2</v>
      </c>
    </row>
    <row r="224" spans="1:8" x14ac:dyDescent="0.3">
      <c r="A224" s="25" t="s">
        <v>102</v>
      </c>
      <c r="B224" s="15" t="s">
        <v>79</v>
      </c>
      <c r="C224" s="15">
        <v>10</v>
      </c>
      <c r="D224" s="162">
        <f t="shared" si="18"/>
        <v>3.0674846625766871E-2</v>
      </c>
    </row>
    <row r="225" spans="1:8" x14ac:dyDescent="0.3">
      <c r="A225" s="25" t="s">
        <v>103</v>
      </c>
      <c r="B225" s="15" t="s">
        <v>79</v>
      </c>
      <c r="C225" s="15">
        <v>7</v>
      </c>
      <c r="D225" s="162">
        <f t="shared" si="18"/>
        <v>2.1472392638036811E-2</v>
      </c>
    </row>
    <row r="226" spans="1:8" x14ac:dyDescent="0.3">
      <c r="A226" s="25" t="s">
        <v>138</v>
      </c>
      <c r="B226" s="15" t="s">
        <v>81</v>
      </c>
      <c r="C226" s="15">
        <v>4</v>
      </c>
      <c r="D226" s="162">
        <f t="shared" si="18"/>
        <v>1.2269938650306749E-2</v>
      </c>
    </row>
    <row r="227" spans="1:8" x14ac:dyDescent="0.3">
      <c r="A227" s="25" t="s">
        <v>106</v>
      </c>
      <c r="B227" s="15" t="s">
        <v>81</v>
      </c>
      <c r="C227" s="15">
        <v>2</v>
      </c>
      <c r="D227" s="162">
        <f t="shared" si="18"/>
        <v>6.1349693251533744E-3</v>
      </c>
    </row>
    <row r="228" spans="1:8" x14ac:dyDescent="0.3">
      <c r="A228" s="25" t="s">
        <v>107</v>
      </c>
      <c r="B228" s="15" t="s">
        <v>81</v>
      </c>
      <c r="C228" s="15">
        <v>23</v>
      </c>
      <c r="D228" s="162">
        <f t="shared" si="18"/>
        <v>7.0552147239263799E-2</v>
      </c>
    </row>
    <row r="229" spans="1:8" x14ac:dyDescent="0.3">
      <c r="A229" s="25" t="s">
        <v>108</v>
      </c>
      <c r="B229" s="15" t="s">
        <v>81</v>
      </c>
      <c r="C229" s="15">
        <v>12</v>
      </c>
      <c r="D229" s="162">
        <f t="shared" si="18"/>
        <v>3.6809815950920248E-2</v>
      </c>
    </row>
    <row r="230" spans="1:8" ht="14.5" thickBot="1" x14ac:dyDescent="0.35">
      <c r="A230" s="34" t="s">
        <v>130</v>
      </c>
      <c r="B230" s="24" t="s">
        <v>125</v>
      </c>
      <c r="C230" s="24">
        <v>13</v>
      </c>
      <c r="D230" s="169" t="s">
        <v>111</v>
      </c>
    </row>
    <row r="231" spans="1:8" x14ac:dyDescent="0.3">
      <c r="C231" s="17"/>
    </row>
    <row r="232" spans="1:8" x14ac:dyDescent="0.3">
      <c r="C232" s="17"/>
    </row>
    <row r="233" spans="1:8" x14ac:dyDescent="0.3">
      <c r="C233" s="17"/>
    </row>
    <row r="234" spans="1:8" ht="14.5" thickBot="1" x14ac:dyDescent="0.35">
      <c r="F234" s="14"/>
    </row>
    <row r="235" spans="1:8" x14ac:dyDescent="0.3">
      <c r="A235" s="8" t="s">
        <v>131</v>
      </c>
      <c r="B235" s="9" t="s">
        <v>68</v>
      </c>
      <c r="C235" s="9" t="s">
        <v>49</v>
      </c>
      <c r="D235" s="58" t="s">
        <v>50</v>
      </c>
      <c r="F235" s="163" t="s">
        <v>132</v>
      </c>
      <c r="G235" s="9" t="s">
        <v>114</v>
      </c>
      <c r="H235" s="58" t="s">
        <v>50</v>
      </c>
    </row>
    <row r="236" spans="1:8" x14ac:dyDescent="0.3">
      <c r="A236" s="25" t="s">
        <v>71</v>
      </c>
      <c r="B236" s="15" t="s">
        <v>72</v>
      </c>
      <c r="C236" s="15">
        <v>8</v>
      </c>
      <c r="D236" s="162">
        <f>C236/92</f>
        <v>8.6956521739130432E-2</v>
      </c>
      <c r="F236" s="25" t="s">
        <v>72</v>
      </c>
      <c r="G236" s="15">
        <v>13</v>
      </c>
      <c r="H236" s="162">
        <f t="shared" ref="H236:H241" si="19">G236/92</f>
        <v>0.14130434782608695</v>
      </c>
    </row>
    <row r="237" spans="1:8" x14ac:dyDescent="0.3">
      <c r="A237" s="25" t="s">
        <v>75</v>
      </c>
      <c r="B237" s="15" t="s">
        <v>72</v>
      </c>
      <c r="C237" s="15">
        <v>4</v>
      </c>
      <c r="D237" s="162">
        <f t="shared" ref="D237:D257" si="20">C237/92</f>
        <v>4.3478260869565216E-2</v>
      </c>
      <c r="E237" s="44"/>
      <c r="F237" s="25" t="s">
        <v>74</v>
      </c>
      <c r="G237" s="15">
        <v>2</v>
      </c>
      <c r="H237" s="162">
        <f t="shared" si="19"/>
        <v>2.1739130434782608E-2</v>
      </c>
    </row>
    <row r="238" spans="1:8" x14ac:dyDescent="0.3">
      <c r="A238" s="25" t="s">
        <v>77</v>
      </c>
      <c r="B238" s="15" t="s">
        <v>72</v>
      </c>
      <c r="C238" s="15">
        <v>1</v>
      </c>
      <c r="D238" s="162">
        <f t="shared" si="20"/>
        <v>1.0869565217391304E-2</v>
      </c>
      <c r="E238" s="45"/>
      <c r="F238" s="101" t="s">
        <v>76</v>
      </c>
      <c r="G238" s="15">
        <v>43</v>
      </c>
      <c r="H238" s="162">
        <f t="shared" si="19"/>
        <v>0.46739130434782611</v>
      </c>
    </row>
    <row r="239" spans="1:8" x14ac:dyDescent="0.3">
      <c r="A239" s="25" t="s">
        <v>74</v>
      </c>
      <c r="B239" s="15" t="s">
        <v>74</v>
      </c>
      <c r="C239" s="15">
        <v>2</v>
      </c>
      <c r="D239" s="162">
        <f t="shared" si="20"/>
        <v>2.1739130434782608E-2</v>
      </c>
      <c r="E239" s="45"/>
      <c r="F239" s="25" t="s">
        <v>78</v>
      </c>
      <c r="G239" s="15">
        <v>9</v>
      </c>
      <c r="H239" s="162">
        <f t="shared" si="19"/>
        <v>9.7826086956521743E-2</v>
      </c>
    </row>
    <row r="240" spans="1:8" x14ac:dyDescent="0.3">
      <c r="A240" s="25" t="s">
        <v>115</v>
      </c>
      <c r="B240" s="15" t="s">
        <v>76</v>
      </c>
      <c r="C240" s="15">
        <v>8</v>
      </c>
      <c r="D240" s="162">
        <f t="shared" si="20"/>
        <v>8.6956521739130432E-2</v>
      </c>
      <c r="E240" s="45"/>
      <c r="F240" s="25" t="s">
        <v>79</v>
      </c>
      <c r="G240" s="15">
        <v>10</v>
      </c>
      <c r="H240" s="162">
        <f t="shared" si="19"/>
        <v>0.10869565217391304</v>
      </c>
    </row>
    <row r="241" spans="1:8" ht="14.5" thickBot="1" x14ac:dyDescent="0.35">
      <c r="A241" s="25" t="s">
        <v>85</v>
      </c>
      <c r="B241" s="15" t="s">
        <v>76</v>
      </c>
      <c r="C241" s="15">
        <v>2</v>
      </c>
      <c r="D241" s="162">
        <f t="shared" si="20"/>
        <v>2.1739130434782608E-2</v>
      </c>
      <c r="E241" s="45"/>
      <c r="F241" s="34" t="s">
        <v>81</v>
      </c>
      <c r="G241" s="24">
        <v>15</v>
      </c>
      <c r="H241" s="184">
        <f t="shared" si="19"/>
        <v>0.16304347826086957</v>
      </c>
    </row>
    <row r="242" spans="1:8" x14ac:dyDescent="0.3">
      <c r="A242" s="25" t="s">
        <v>86</v>
      </c>
      <c r="B242" s="15" t="s">
        <v>76</v>
      </c>
      <c r="C242" s="15">
        <v>1</v>
      </c>
      <c r="D242" s="162">
        <f t="shared" si="20"/>
        <v>1.0869565217391304E-2</v>
      </c>
      <c r="E242" s="45"/>
    </row>
    <row r="243" spans="1:8" x14ac:dyDescent="0.3">
      <c r="A243" s="25" t="s">
        <v>87</v>
      </c>
      <c r="B243" s="15" t="s">
        <v>76</v>
      </c>
      <c r="C243" s="15">
        <v>5</v>
      </c>
      <c r="D243" s="162">
        <f t="shared" si="20"/>
        <v>5.434782608695652E-2</v>
      </c>
      <c r="E243" s="45"/>
    </row>
    <row r="244" spans="1:8" x14ac:dyDescent="0.3">
      <c r="A244" s="25" t="s">
        <v>88</v>
      </c>
      <c r="B244" s="15" t="s">
        <v>76</v>
      </c>
      <c r="C244" s="15">
        <v>2</v>
      </c>
      <c r="D244" s="162">
        <f t="shared" si="20"/>
        <v>2.1739130434782608E-2</v>
      </c>
      <c r="E244" s="45"/>
    </row>
    <row r="245" spans="1:8" x14ac:dyDescent="0.3">
      <c r="A245" s="25" t="s">
        <v>90</v>
      </c>
      <c r="B245" s="15" t="s">
        <v>76</v>
      </c>
      <c r="C245" s="15">
        <v>14</v>
      </c>
      <c r="D245" s="162">
        <f t="shared" si="20"/>
        <v>0.15217391304347827</v>
      </c>
    </row>
    <row r="246" spans="1:8" x14ac:dyDescent="0.3">
      <c r="A246" s="25" t="s">
        <v>91</v>
      </c>
      <c r="B246" s="15" t="s">
        <v>76</v>
      </c>
      <c r="C246" s="15">
        <v>4</v>
      </c>
      <c r="D246" s="162">
        <f t="shared" si="20"/>
        <v>4.3478260869565216E-2</v>
      </c>
    </row>
    <row r="247" spans="1:8" x14ac:dyDescent="0.3">
      <c r="A247" s="25" t="s">
        <v>92</v>
      </c>
      <c r="B247" s="15" t="s">
        <v>76</v>
      </c>
      <c r="C247" s="15">
        <v>1</v>
      </c>
      <c r="D247" s="162">
        <f t="shared" si="20"/>
        <v>1.0869565217391304E-2</v>
      </c>
    </row>
    <row r="248" spans="1:8" x14ac:dyDescent="0.3">
      <c r="A248" s="25" t="s">
        <v>93</v>
      </c>
      <c r="B248" s="15" t="s">
        <v>76</v>
      </c>
      <c r="C248" s="15">
        <v>6</v>
      </c>
      <c r="D248" s="162">
        <f t="shared" si="20"/>
        <v>6.5217391304347824E-2</v>
      </c>
    </row>
    <row r="249" spans="1:8" x14ac:dyDescent="0.3">
      <c r="A249" s="25" t="s">
        <v>95</v>
      </c>
      <c r="B249" s="15" t="s">
        <v>78</v>
      </c>
      <c r="C249" s="15">
        <v>3</v>
      </c>
      <c r="D249" s="162">
        <f t="shared" si="20"/>
        <v>3.2608695652173912E-2</v>
      </c>
    </row>
    <row r="250" spans="1:8" x14ac:dyDescent="0.3">
      <c r="A250" s="25" t="s">
        <v>96</v>
      </c>
      <c r="B250" s="15" t="s">
        <v>78</v>
      </c>
      <c r="C250" s="15">
        <v>6</v>
      </c>
      <c r="D250" s="162">
        <f t="shared" si="20"/>
        <v>6.5217391304347824E-2</v>
      </c>
    </row>
    <row r="251" spans="1:8" x14ac:dyDescent="0.3">
      <c r="A251" s="25" t="s">
        <v>98</v>
      </c>
      <c r="B251" s="15" t="s">
        <v>79</v>
      </c>
      <c r="C251" s="15">
        <v>2</v>
      </c>
      <c r="D251" s="162">
        <f t="shared" si="20"/>
        <v>2.1739130434782608E-2</v>
      </c>
    </row>
    <row r="252" spans="1:8" x14ac:dyDescent="0.3">
      <c r="A252" s="25" t="s">
        <v>99</v>
      </c>
      <c r="B252" s="15" t="s">
        <v>79</v>
      </c>
      <c r="C252" s="15">
        <v>5</v>
      </c>
      <c r="D252" s="162">
        <f t="shared" si="20"/>
        <v>5.434782608695652E-2</v>
      </c>
    </row>
    <row r="253" spans="1:8" x14ac:dyDescent="0.3">
      <c r="A253" s="25" t="s">
        <v>102</v>
      </c>
      <c r="B253" s="15" t="s">
        <v>79</v>
      </c>
      <c r="C253" s="15">
        <v>3</v>
      </c>
      <c r="D253" s="162">
        <f t="shared" si="20"/>
        <v>3.2608695652173912E-2</v>
      </c>
    </row>
    <row r="254" spans="1:8" x14ac:dyDescent="0.3">
      <c r="A254" s="25" t="s">
        <v>138</v>
      </c>
      <c r="B254" s="15" t="s">
        <v>81</v>
      </c>
      <c r="C254" s="15">
        <v>1</v>
      </c>
      <c r="D254" s="162">
        <f t="shared" si="20"/>
        <v>1.0869565217391304E-2</v>
      </c>
    </row>
    <row r="255" spans="1:8" x14ac:dyDescent="0.3">
      <c r="A255" s="25" t="s">
        <v>106</v>
      </c>
      <c r="B255" s="15" t="s">
        <v>81</v>
      </c>
      <c r="C255" s="15">
        <v>2</v>
      </c>
      <c r="D255" s="162">
        <f t="shared" si="20"/>
        <v>2.1739130434782608E-2</v>
      </c>
    </row>
    <row r="256" spans="1:8" x14ac:dyDescent="0.3">
      <c r="A256" s="25" t="s">
        <v>107</v>
      </c>
      <c r="B256" s="15" t="s">
        <v>81</v>
      </c>
      <c r="C256" s="15">
        <v>7</v>
      </c>
      <c r="D256" s="162">
        <f t="shared" si="20"/>
        <v>7.6086956521739135E-2</v>
      </c>
    </row>
    <row r="257" spans="1:4" x14ac:dyDescent="0.3">
      <c r="A257" s="25" t="s">
        <v>108</v>
      </c>
      <c r="B257" s="15" t="s">
        <v>81</v>
      </c>
      <c r="C257" s="15">
        <v>5</v>
      </c>
      <c r="D257" s="162">
        <f t="shared" si="20"/>
        <v>5.434782608695652E-2</v>
      </c>
    </row>
    <row r="258" spans="1:4" ht="14.5" thickBot="1" x14ac:dyDescent="0.35">
      <c r="A258" s="34" t="s">
        <v>130</v>
      </c>
      <c r="B258" s="24" t="s">
        <v>125</v>
      </c>
      <c r="C258" s="24">
        <v>1</v>
      </c>
      <c r="D258" s="169" t="s">
        <v>111</v>
      </c>
    </row>
  </sheetData>
  <sheetProtection selectLockedCells="1" selectUnlockedCells="1"/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002060"/>
  </sheetPr>
  <dimension ref="A1:I267"/>
  <sheetViews>
    <sheetView showGridLines="0" zoomScale="75" zoomScaleNormal="75" workbookViewId="0">
      <selection activeCell="B15" sqref="B15"/>
    </sheetView>
  </sheetViews>
  <sheetFormatPr defaultColWidth="9" defaultRowHeight="14" x14ac:dyDescent="0.3"/>
  <cols>
    <col min="1" max="1" width="85.7265625" style="13" customWidth="1"/>
    <col min="2" max="2" width="36" style="13" bestFit="1" customWidth="1"/>
    <col min="3" max="5" width="16.54296875" style="13" customWidth="1"/>
    <col min="6" max="6" width="74" style="13" customWidth="1"/>
    <col min="7" max="7" width="9.1796875" style="13" bestFit="1" customWidth="1"/>
    <col min="8" max="8" width="14" style="13" bestFit="1" customWidth="1"/>
    <col min="9" max="16384" width="9" style="13"/>
  </cols>
  <sheetData>
    <row r="1" spans="1:5" x14ac:dyDescent="0.3">
      <c r="A1" s="59" t="s">
        <v>141</v>
      </c>
      <c r="B1" s="60" t="s">
        <v>1</v>
      </c>
      <c r="C1" s="60" t="s">
        <v>2</v>
      </c>
      <c r="D1" s="60" t="s">
        <v>3</v>
      </c>
      <c r="E1" s="62" t="s">
        <v>4</v>
      </c>
    </row>
    <row r="2" spans="1:5" x14ac:dyDescent="0.3">
      <c r="A2" s="28" t="s">
        <v>5</v>
      </c>
      <c r="B2" s="29">
        <v>4</v>
      </c>
      <c r="C2" s="29">
        <v>4</v>
      </c>
      <c r="D2" s="29">
        <v>5</v>
      </c>
      <c r="E2" s="30">
        <v>6</v>
      </c>
    </row>
    <row r="3" spans="1:5" x14ac:dyDescent="0.3">
      <c r="A3" s="28" t="s">
        <v>6</v>
      </c>
      <c r="B3" s="29">
        <v>5</v>
      </c>
      <c r="C3" s="29">
        <v>5</v>
      </c>
      <c r="D3" s="29">
        <v>5</v>
      </c>
      <c r="E3" s="30">
        <v>5</v>
      </c>
    </row>
    <row r="4" spans="1:5" x14ac:dyDescent="0.3">
      <c r="A4" s="28" t="s">
        <v>7</v>
      </c>
      <c r="B4" s="29">
        <v>5</v>
      </c>
      <c r="C4" s="29">
        <v>5</v>
      </c>
      <c r="D4" s="29">
        <v>5</v>
      </c>
      <c r="E4" s="30">
        <v>5</v>
      </c>
    </row>
    <row r="5" spans="1:5" x14ac:dyDescent="0.3">
      <c r="A5" s="28" t="s">
        <v>8</v>
      </c>
      <c r="B5" s="29">
        <v>2</v>
      </c>
      <c r="C5" s="29">
        <v>2</v>
      </c>
      <c r="D5" s="29">
        <v>2</v>
      </c>
      <c r="E5" s="30">
        <v>2</v>
      </c>
    </row>
    <row r="6" spans="1:5" x14ac:dyDescent="0.3">
      <c r="A6" s="31" t="s">
        <v>9</v>
      </c>
      <c r="B6" s="32">
        <v>2</v>
      </c>
      <c r="C6" s="32">
        <v>2</v>
      </c>
      <c r="D6" s="32">
        <v>2</v>
      </c>
      <c r="E6" s="33">
        <v>2</v>
      </c>
    </row>
    <row r="9" spans="1:5" ht="14.5" thickBot="1" x14ac:dyDescent="0.35"/>
    <row r="10" spans="1:5" x14ac:dyDescent="0.3">
      <c r="A10" s="8" t="s">
        <v>135</v>
      </c>
      <c r="B10" s="9" t="s">
        <v>1</v>
      </c>
      <c r="C10" s="9" t="s">
        <v>2</v>
      </c>
      <c r="D10" s="9" t="s">
        <v>3</v>
      </c>
      <c r="E10" s="58" t="s">
        <v>4</v>
      </c>
    </row>
    <row r="11" spans="1:5" x14ac:dyDescent="0.3">
      <c r="A11" s="25" t="s">
        <v>11</v>
      </c>
      <c r="B11" s="15">
        <v>79</v>
      </c>
      <c r="C11" s="15">
        <v>71</v>
      </c>
      <c r="D11" s="15">
        <v>66</v>
      </c>
      <c r="E11" s="69">
        <v>63</v>
      </c>
    </row>
    <row r="12" spans="1:5" x14ac:dyDescent="0.3">
      <c r="A12" s="25" t="s">
        <v>12</v>
      </c>
      <c r="B12" s="15">
        <v>142</v>
      </c>
      <c r="C12" s="15">
        <v>128</v>
      </c>
      <c r="D12" s="15">
        <v>113</v>
      </c>
      <c r="E12" s="69">
        <v>107</v>
      </c>
    </row>
    <row r="13" spans="1:5" x14ac:dyDescent="0.3">
      <c r="A13" s="25" t="s">
        <v>13</v>
      </c>
      <c r="B13" s="23">
        <v>20116.740000000002</v>
      </c>
      <c r="C13" s="23">
        <v>19087.79</v>
      </c>
      <c r="D13" s="23">
        <v>17305.78</v>
      </c>
      <c r="E13" s="68">
        <v>16593.09</v>
      </c>
    </row>
    <row r="14" spans="1:5" x14ac:dyDescent="0.3">
      <c r="A14" s="25" t="s">
        <v>14</v>
      </c>
      <c r="B14" s="23">
        <f>B13*52/B11</f>
        <v>13241.39848101266</v>
      </c>
      <c r="C14" s="23">
        <f t="shared" ref="C14:E14" si="0">C13*52/C11</f>
        <v>13979.789859154931</v>
      </c>
      <c r="D14" s="23">
        <f t="shared" si="0"/>
        <v>13634.856969696968</v>
      </c>
      <c r="E14" s="68">
        <f t="shared" si="0"/>
        <v>13695.88380952381</v>
      </c>
    </row>
    <row r="15" spans="1:5" x14ac:dyDescent="0.3">
      <c r="A15" s="25" t="s">
        <v>15</v>
      </c>
      <c r="B15" s="23">
        <f>B13*52</f>
        <v>1046070.4800000001</v>
      </c>
      <c r="C15" s="23">
        <f t="shared" ref="C15:E15" si="1">C13*52</f>
        <v>992565.08000000007</v>
      </c>
      <c r="D15" s="23">
        <f t="shared" si="1"/>
        <v>899900.55999999994</v>
      </c>
      <c r="E15" s="68">
        <f t="shared" si="1"/>
        <v>862840.68</v>
      </c>
    </row>
    <row r="16" spans="1:5" ht="14.5" thickBot="1" x14ac:dyDescent="0.35">
      <c r="A16" s="34" t="s">
        <v>16</v>
      </c>
      <c r="B16" s="24">
        <v>509</v>
      </c>
      <c r="C16" s="24">
        <v>591</v>
      </c>
      <c r="D16" s="24">
        <v>663</v>
      </c>
      <c r="E16" s="70">
        <v>679</v>
      </c>
    </row>
    <row r="17" spans="1:6" x14ac:dyDescent="0.3">
      <c r="A17" s="112" t="s">
        <v>17</v>
      </c>
      <c r="B17" s="140">
        <v>42</v>
      </c>
      <c r="C17" s="140">
        <v>39</v>
      </c>
      <c r="D17" s="140">
        <v>37</v>
      </c>
      <c r="E17" s="141">
        <v>33</v>
      </c>
      <c r="F17" s="51"/>
    </row>
    <row r="18" spans="1:6" x14ac:dyDescent="0.3">
      <c r="A18" s="25" t="s">
        <v>18</v>
      </c>
      <c r="B18" s="41">
        <v>6</v>
      </c>
      <c r="C18" s="41">
        <v>7</v>
      </c>
      <c r="D18" s="41">
        <v>8</v>
      </c>
      <c r="E18" s="86">
        <v>7</v>
      </c>
      <c r="F18" s="93"/>
    </row>
    <row r="19" spans="1:6" x14ac:dyDescent="0.3">
      <c r="A19" s="78" t="s">
        <v>19</v>
      </c>
      <c r="B19" s="122">
        <f>B18/B17</f>
        <v>0.14285714285714285</v>
      </c>
      <c r="C19" s="122">
        <f>C18/C17</f>
        <v>0.17948717948717949</v>
      </c>
      <c r="D19" s="122">
        <f>D18/D17</f>
        <v>0.21621621621621623</v>
      </c>
      <c r="E19" s="185">
        <f>E18/E17</f>
        <v>0.21212121212121213</v>
      </c>
      <c r="F19" s="93"/>
    </row>
    <row r="20" spans="1:6" ht="14.5" thickBot="1" x14ac:dyDescent="0.35">
      <c r="A20" s="34" t="s">
        <v>20</v>
      </c>
      <c r="B20" s="72">
        <v>6</v>
      </c>
      <c r="C20" s="72">
        <v>10</v>
      </c>
      <c r="D20" s="72">
        <v>9</v>
      </c>
      <c r="E20" s="142">
        <v>8</v>
      </c>
      <c r="F20" s="51"/>
    </row>
    <row r="21" spans="1:6" x14ac:dyDescent="0.3">
      <c r="A21" s="112" t="s">
        <v>21</v>
      </c>
      <c r="B21" s="140">
        <v>23</v>
      </c>
      <c r="C21" s="140">
        <v>20</v>
      </c>
      <c r="D21" s="140">
        <v>18</v>
      </c>
      <c r="E21" s="141">
        <v>19</v>
      </c>
      <c r="F21" s="51"/>
    </row>
    <row r="22" spans="1:6" x14ac:dyDescent="0.3">
      <c r="A22" s="25" t="s">
        <v>136</v>
      </c>
      <c r="B22" s="41">
        <v>5</v>
      </c>
      <c r="C22" s="41">
        <v>4</v>
      </c>
      <c r="D22" s="41">
        <v>4</v>
      </c>
      <c r="E22" s="86">
        <v>6</v>
      </c>
      <c r="F22" s="93"/>
    </row>
    <row r="23" spans="1:6" x14ac:dyDescent="0.3">
      <c r="A23" s="25" t="s">
        <v>23</v>
      </c>
      <c r="B23" s="41">
        <v>0</v>
      </c>
      <c r="C23" s="41">
        <v>0</v>
      </c>
      <c r="D23" s="41">
        <v>0</v>
      </c>
      <c r="E23" s="86">
        <v>0</v>
      </c>
      <c r="F23" s="51"/>
    </row>
    <row r="24" spans="1:6" x14ac:dyDescent="0.3">
      <c r="A24" s="25" t="s">
        <v>24</v>
      </c>
      <c r="B24" s="41">
        <v>0</v>
      </c>
      <c r="C24" s="41">
        <v>0</v>
      </c>
      <c r="D24" s="41">
        <v>0</v>
      </c>
      <c r="E24" s="86">
        <v>1</v>
      </c>
      <c r="F24" s="51"/>
    </row>
    <row r="25" spans="1:6" ht="14.5" thickBot="1" x14ac:dyDescent="0.35">
      <c r="A25" s="34" t="s">
        <v>25</v>
      </c>
      <c r="B25" s="143">
        <f>(B24+B23+B21)/(B11-B26)</f>
        <v>0.323943661971831</v>
      </c>
      <c r="C25" s="143">
        <f t="shared" ref="C25:E25" si="2">(C24+C23+C21)/(C11-C26)</f>
        <v>0.28985507246376813</v>
      </c>
      <c r="D25" s="143">
        <f t="shared" si="2"/>
        <v>0.28125</v>
      </c>
      <c r="E25" s="184">
        <f t="shared" si="2"/>
        <v>0.32786885245901637</v>
      </c>
      <c r="F25" s="51"/>
    </row>
    <row r="26" spans="1:6" ht="14.5" thickBot="1" x14ac:dyDescent="0.35">
      <c r="A26" s="115" t="s">
        <v>26</v>
      </c>
      <c r="B26" s="118">
        <v>8</v>
      </c>
      <c r="C26" s="118">
        <v>2</v>
      </c>
      <c r="D26" s="118">
        <v>2</v>
      </c>
      <c r="E26" s="119">
        <v>2</v>
      </c>
      <c r="F26" s="51"/>
    </row>
    <row r="27" spans="1:6" x14ac:dyDescent="0.3">
      <c r="A27" s="112" t="s">
        <v>27</v>
      </c>
      <c r="B27" s="46">
        <v>30</v>
      </c>
      <c r="C27" s="46">
        <v>51</v>
      </c>
      <c r="D27" s="46">
        <v>29</v>
      </c>
      <c r="E27" s="113">
        <v>38</v>
      </c>
    </row>
    <row r="28" spans="1:6" x14ac:dyDescent="0.3">
      <c r="A28" s="25" t="s">
        <v>28</v>
      </c>
      <c r="B28" s="15">
        <v>20</v>
      </c>
      <c r="C28" s="15">
        <v>12</v>
      </c>
      <c r="D28" s="15">
        <v>9</v>
      </c>
      <c r="E28" s="69">
        <v>12</v>
      </c>
    </row>
    <row r="29" spans="1:6" ht="14.5" thickBot="1" x14ac:dyDescent="0.35">
      <c r="A29" s="34" t="s">
        <v>29</v>
      </c>
      <c r="B29" s="24">
        <v>21</v>
      </c>
      <c r="C29" s="24">
        <v>20</v>
      </c>
      <c r="D29" s="24">
        <v>14</v>
      </c>
      <c r="E29" s="70">
        <v>15</v>
      </c>
    </row>
    <row r="30" spans="1:6" x14ac:dyDescent="0.3">
      <c r="A30" s="16"/>
    </row>
    <row r="32" spans="1:6" ht="14.5" thickBot="1" x14ac:dyDescent="0.35"/>
    <row r="33" spans="1:6" x14ac:dyDescent="0.3">
      <c r="A33" s="8" t="s">
        <v>30</v>
      </c>
      <c r="B33" s="9" t="s">
        <v>1</v>
      </c>
      <c r="C33" s="9" t="s">
        <v>2</v>
      </c>
      <c r="D33" s="9" t="s">
        <v>3</v>
      </c>
      <c r="E33" s="58" t="s">
        <v>4</v>
      </c>
    </row>
    <row r="34" spans="1:6" x14ac:dyDescent="0.3">
      <c r="A34" s="25" t="s">
        <v>11</v>
      </c>
      <c r="B34" s="15">
        <v>50</v>
      </c>
      <c r="C34" s="15">
        <v>46</v>
      </c>
      <c r="D34" s="15">
        <v>47</v>
      </c>
      <c r="E34" s="69">
        <v>45</v>
      </c>
    </row>
    <row r="35" spans="1:6" x14ac:dyDescent="0.3">
      <c r="A35" s="25" t="s">
        <v>13</v>
      </c>
      <c r="B35" s="23">
        <v>11917.15</v>
      </c>
      <c r="C35" s="23">
        <v>11414.82</v>
      </c>
      <c r="D35" s="23">
        <v>10714.7</v>
      </c>
      <c r="E35" s="68">
        <v>9530.24</v>
      </c>
    </row>
    <row r="36" spans="1:6" x14ac:dyDescent="0.3">
      <c r="A36" s="25" t="s">
        <v>14</v>
      </c>
      <c r="B36" s="23">
        <f>B35*52/B34</f>
        <v>12393.835999999999</v>
      </c>
      <c r="C36" s="23">
        <f>C35*52/C34</f>
        <v>12903.709565217392</v>
      </c>
      <c r="D36" s="23">
        <f t="shared" ref="D36:E36" si="3">D35*52/D34</f>
        <v>11854.561702127659</v>
      </c>
      <c r="E36" s="68">
        <f t="shared" si="3"/>
        <v>11012.721777777777</v>
      </c>
    </row>
    <row r="37" spans="1:6" x14ac:dyDescent="0.3">
      <c r="A37" s="25" t="s">
        <v>15</v>
      </c>
      <c r="B37" s="23">
        <f>B35*52</f>
        <v>619691.79999999993</v>
      </c>
      <c r="C37" s="23">
        <f>C35*52</f>
        <v>593570.64</v>
      </c>
      <c r="D37" s="23">
        <f t="shared" ref="D37:E37" si="4">D35*52</f>
        <v>557164.4</v>
      </c>
      <c r="E37" s="68">
        <f t="shared" si="4"/>
        <v>495572.47999999998</v>
      </c>
    </row>
    <row r="38" spans="1:6" ht="14.5" thickBot="1" x14ac:dyDescent="0.35">
      <c r="A38" s="34" t="s">
        <v>16</v>
      </c>
      <c r="B38" s="144">
        <v>609</v>
      </c>
      <c r="C38" s="24">
        <v>744</v>
      </c>
      <c r="D38" s="24">
        <v>794</v>
      </c>
      <c r="E38" s="70">
        <v>794</v>
      </c>
    </row>
    <row r="39" spans="1:6" x14ac:dyDescent="0.3">
      <c r="A39" s="112" t="s">
        <v>31</v>
      </c>
      <c r="B39" s="46">
        <v>12</v>
      </c>
      <c r="C39" s="46">
        <v>13</v>
      </c>
      <c r="D39" s="46">
        <v>12</v>
      </c>
      <c r="E39" s="113">
        <v>10</v>
      </c>
      <c r="F39" s="51"/>
    </row>
    <row r="40" spans="1:6" x14ac:dyDescent="0.3">
      <c r="A40" s="25" t="s">
        <v>32</v>
      </c>
      <c r="B40" s="15">
        <v>5</v>
      </c>
      <c r="C40" s="15">
        <v>7</v>
      </c>
      <c r="D40" s="15">
        <v>8</v>
      </c>
      <c r="E40" s="69">
        <v>7</v>
      </c>
    </row>
    <row r="41" spans="1:6" x14ac:dyDescent="0.3">
      <c r="A41" s="78" t="s">
        <v>19</v>
      </c>
      <c r="B41" s="122">
        <f>B40/B39</f>
        <v>0.41666666666666669</v>
      </c>
      <c r="C41" s="122">
        <f t="shared" ref="C41:E41" si="5">C40/C39</f>
        <v>0.53846153846153844</v>
      </c>
      <c r="D41" s="122">
        <f t="shared" si="5"/>
        <v>0.66666666666666663</v>
      </c>
      <c r="E41" s="185">
        <f t="shared" si="5"/>
        <v>0.7</v>
      </c>
    </row>
    <row r="42" spans="1:6" ht="14.5" thickBot="1" x14ac:dyDescent="0.35">
      <c r="A42" s="34" t="s">
        <v>33</v>
      </c>
      <c r="B42" s="24">
        <v>1</v>
      </c>
      <c r="C42" s="24">
        <v>1</v>
      </c>
      <c r="D42" s="24">
        <v>2</v>
      </c>
      <c r="E42" s="70">
        <v>2</v>
      </c>
      <c r="F42" s="51"/>
    </row>
    <row r="43" spans="1:6" x14ac:dyDescent="0.3">
      <c r="A43" s="112" t="s">
        <v>34</v>
      </c>
      <c r="B43" s="46">
        <v>30</v>
      </c>
      <c r="C43" s="46">
        <v>28</v>
      </c>
      <c r="D43" s="46">
        <v>29</v>
      </c>
      <c r="E43" s="113">
        <v>29</v>
      </c>
      <c r="F43" s="51"/>
    </row>
    <row r="44" spans="1:6" x14ac:dyDescent="0.3">
      <c r="A44" s="25" t="s">
        <v>35</v>
      </c>
      <c r="B44" s="15">
        <v>10</v>
      </c>
      <c r="C44" s="15">
        <v>11</v>
      </c>
      <c r="D44" s="15">
        <v>11</v>
      </c>
      <c r="E44" s="69">
        <v>11</v>
      </c>
    </row>
    <row r="45" spans="1:6" x14ac:dyDescent="0.3">
      <c r="A45" s="25" t="s">
        <v>36</v>
      </c>
      <c r="B45" s="54">
        <v>4</v>
      </c>
      <c r="C45" s="15">
        <v>4</v>
      </c>
      <c r="D45" s="15">
        <v>4</v>
      </c>
      <c r="E45" s="69">
        <v>4</v>
      </c>
      <c r="F45" s="51"/>
    </row>
    <row r="46" spans="1:6" x14ac:dyDescent="0.3">
      <c r="A46" s="25" t="s">
        <v>37</v>
      </c>
      <c r="B46" s="15">
        <v>0</v>
      </c>
      <c r="C46" s="15">
        <v>0</v>
      </c>
      <c r="D46" s="15">
        <v>0</v>
      </c>
      <c r="E46" s="69">
        <v>0</v>
      </c>
      <c r="F46" s="51"/>
    </row>
    <row r="47" spans="1:6" ht="14.5" thickBot="1" x14ac:dyDescent="0.35">
      <c r="A47" s="34" t="s">
        <v>25</v>
      </c>
      <c r="B47" s="143">
        <f>(B46+B45+B43)/(B34-B48)</f>
        <v>0.72340425531914898</v>
      </c>
      <c r="C47" s="143">
        <f t="shared" ref="C47:E47" si="6">(C46+C45+C43)/(C34-C48)</f>
        <v>0.69565217391304346</v>
      </c>
      <c r="D47" s="143">
        <f t="shared" si="6"/>
        <v>0.7021276595744681</v>
      </c>
      <c r="E47" s="184">
        <f t="shared" si="6"/>
        <v>0.73333333333333328</v>
      </c>
      <c r="F47" s="51"/>
    </row>
    <row r="48" spans="1:6" ht="14.5" thickBot="1" x14ac:dyDescent="0.35">
      <c r="A48" s="115" t="s">
        <v>142</v>
      </c>
      <c r="B48" s="146">
        <v>3</v>
      </c>
      <c r="C48" s="109">
        <v>0</v>
      </c>
      <c r="D48" s="109">
        <v>0</v>
      </c>
      <c r="E48" s="147">
        <v>0</v>
      </c>
      <c r="F48" s="51"/>
    </row>
    <row r="49" spans="1:8" x14ac:dyDescent="0.3">
      <c r="A49" s="112" t="s">
        <v>27</v>
      </c>
      <c r="B49" s="145">
        <v>56</v>
      </c>
      <c r="C49" s="46">
        <v>33</v>
      </c>
      <c r="D49" s="46">
        <v>28</v>
      </c>
      <c r="E49" s="113">
        <v>38</v>
      </c>
    </row>
    <row r="50" spans="1:8" x14ac:dyDescent="0.3">
      <c r="A50" s="25" t="s">
        <v>28</v>
      </c>
      <c r="B50" s="90">
        <v>12</v>
      </c>
      <c r="C50" s="15">
        <v>0</v>
      </c>
      <c r="D50" s="15">
        <v>3</v>
      </c>
      <c r="E50" s="69">
        <v>0</v>
      </c>
    </row>
    <row r="51" spans="1:8" ht="14.5" thickBot="1" x14ac:dyDescent="0.35">
      <c r="A51" s="34" t="s">
        <v>29</v>
      </c>
      <c r="B51" s="40">
        <v>3</v>
      </c>
      <c r="C51" s="91">
        <v>4</v>
      </c>
      <c r="D51" s="91">
        <v>2</v>
      </c>
      <c r="E51" s="92">
        <v>2</v>
      </c>
    </row>
    <row r="52" spans="1:8" x14ac:dyDescent="0.3">
      <c r="A52" s="16"/>
    </row>
    <row r="54" spans="1:8" ht="14.5" thickBot="1" x14ac:dyDescent="0.35"/>
    <row r="55" spans="1:8" x14ac:dyDescent="0.3">
      <c r="A55" s="8" t="s">
        <v>137</v>
      </c>
      <c r="B55" s="9" t="s">
        <v>1</v>
      </c>
      <c r="C55" s="9" t="s">
        <v>2</v>
      </c>
      <c r="D55" s="9" t="s">
        <v>3</v>
      </c>
      <c r="E55" s="58" t="s">
        <v>4</v>
      </c>
    </row>
    <row r="56" spans="1:8" x14ac:dyDescent="0.3">
      <c r="A56" s="25" t="s">
        <v>39</v>
      </c>
      <c r="B56" s="15">
        <v>279</v>
      </c>
      <c r="C56" s="15">
        <v>280</v>
      </c>
      <c r="D56" s="15">
        <v>279</v>
      </c>
      <c r="E56" s="69">
        <v>296</v>
      </c>
    </row>
    <row r="57" spans="1:8" x14ac:dyDescent="0.3">
      <c r="A57" s="25" t="s">
        <v>40</v>
      </c>
      <c r="B57" s="15">
        <v>90</v>
      </c>
      <c r="C57" s="15">
        <v>75</v>
      </c>
      <c r="D57" s="15">
        <v>54</v>
      </c>
      <c r="E57" s="69">
        <v>47</v>
      </c>
    </row>
    <row r="58" spans="1:8" x14ac:dyDescent="0.3">
      <c r="A58" s="25" t="s">
        <v>41</v>
      </c>
      <c r="B58" s="15">
        <v>130</v>
      </c>
      <c r="C58" s="15">
        <v>141</v>
      </c>
      <c r="D58" s="15">
        <v>157</v>
      </c>
      <c r="E58" s="69">
        <v>166</v>
      </c>
    </row>
    <row r="59" spans="1:8" ht="14.5" thickBot="1" x14ac:dyDescent="0.35">
      <c r="A59" s="34" t="s">
        <v>42</v>
      </c>
      <c r="B59" s="24">
        <v>59</v>
      </c>
      <c r="C59" s="24">
        <v>64</v>
      </c>
      <c r="D59" s="24">
        <v>68</v>
      </c>
      <c r="E59" s="70">
        <v>83</v>
      </c>
    </row>
    <row r="60" spans="1:8" x14ac:dyDescent="0.3">
      <c r="A60" s="112" t="s">
        <v>43</v>
      </c>
      <c r="B60" s="46">
        <v>145</v>
      </c>
      <c r="C60" s="46">
        <v>147</v>
      </c>
      <c r="D60" s="46">
        <v>146</v>
      </c>
      <c r="E60" s="113">
        <v>147</v>
      </c>
    </row>
    <row r="61" spans="1:8" x14ac:dyDescent="0.3">
      <c r="A61" s="25" t="s">
        <v>44</v>
      </c>
      <c r="B61" s="23">
        <v>78715.94</v>
      </c>
      <c r="C61" s="23">
        <v>78854.259999999995</v>
      </c>
      <c r="D61" s="23">
        <v>78424.539999999994</v>
      </c>
      <c r="E61" s="68">
        <v>78498.990000000005</v>
      </c>
    </row>
    <row r="62" spans="1:8" x14ac:dyDescent="0.3">
      <c r="A62" s="25" t="s">
        <v>14</v>
      </c>
      <c r="B62" s="23">
        <f>B61/B60*52</f>
        <v>28229.164689655176</v>
      </c>
      <c r="C62" s="23">
        <f t="shared" ref="C62:D62" si="7">C61/C60*52</f>
        <v>27894.023945578228</v>
      </c>
      <c r="D62" s="23">
        <f t="shared" si="7"/>
        <v>27932.027945205478</v>
      </c>
      <c r="E62" s="68">
        <v>28268.36</v>
      </c>
    </row>
    <row r="63" spans="1:8" ht="14.5" thickBot="1" x14ac:dyDescent="0.35">
      <c r="A63" s="34" t="s">
        <v>15</v>
      </c>
      <c r="B63" s="120">
        <f>B61*52</f>
        <v>4093228.88</v>
      </c>
      <c r="C63" s="120">
        <f t="shared" ref="C63:E63" si="8">C61*52</f>
        <v>4100421.5199999996</v>
      </c>
      <c r="D63" s="120">
        <f t="shared" si="8"/>
        <v>4078076.0799999996</v>
      </c>
      <c r="E63" s="121">
        <f t="shared" si="8"/>
        <v>4081947.4800000004</v>
      </c>
      <c r="H63" s="173"/>
    </row>
    <row r="64" spans="1:8" x14ac:dyDescent="0.3">
      <c r="A64" s="112" t="s">
        <v>45</v>
      </c>
      <c r="B64" s="46">
        <v>5</v>
      </c>
      <c r="C64" s="46">
        <v>1</v>
      </c>
      <c r="D64" s="46">
        <v>0</v>
      </c>
      <c r="E64" s="113">
        <v>1</v>
      </c>
    </row>
    <row r="65" spans="1:5" x14ac:dyDescent="0.3">
      <c r="A65" s="78" t="s">
        <v>46</v>
      </c>
      <c r="B65" s="15">
        <v>10</v>
      </c>
      <c r="C65" s="15">
        <v>4</v>
      </c>
      <c r="D65" s="15">
        <v>3</v>
      </c>
      <c r="E65" s="69">
        <v>18</v>
      </c>
    </row>
    <row r="66" spans="1:5" ht="14.5" thickBot="1" x14ac:dyDescent="0.35">
      <c r="A66" s="34" t="s">
        <v>47</v>
      </c>
      <c r="B66" s="24">
        <v>5</v>
      </c>
      <c r="C66" s="24">
        <v>1</v>
      </c>
      <c r="D66" s="24">
        <v>1</v>
      </c>
      <c r="E66" s="70">
        <v>0</v>
      </c>
    </row>
    <row r="67" spans="1:5" x14ac:dyDescent="0.3">
      <c r="A67" s="16"/>
      <c r="C67" s="17"/>
    </row>
    <row r="68" spans="1:5" x14ac:dyDescent="0.3">
      <c r="A68" s="16"/>
      <c r="C68" s="17"/>
    </row>
    <row r="69" spans="1:5" x14ac:dyDescent="0.3">
      <c r="A69" s="16"/>
      <c r="C69" s="17"/>
    </row>
    <row r="70" spans="1:5" x14ac:dyDescent="0.3">
      <c r="A70" s="16"/>
      <c r="C70" s="17"/>
    </row>
    <row r="71" spans="1:5" x14ac:dyDescent="0.3">
      <c r="A71" s="16"/>
      <c r="C71" s="17"/>
    </row>
    <row r="72" spans="1:5" x14ac:dyDescent="0.3">
      <c r="A72" s="16"/>
      <c r="C72" s="17"/>
    </row>
    <row r="73" spans="1:5" x14ac:dyDescent="0.3">
      <c r="A73" s="16"/>
      <c r="C73" s="17"/>
    </row>
    <row r="74" spans="1:5" x14ac:dyDescent="0.3">
      <c r="A74" s="16"/>
      <c r="C74" s="17"/>
    </row>
    <row r="75" spans="1:5" s="1" customFormat="1" ht="14.5" thickBot="1" x14ac:dyDescent="0.35">
      <c r="A75" s="11"/>
    </row>
    <row r="76" spans="1:5" s="1" customFormat="1" x14ac:dyDescent="0.3">
      <c r="A76" s="190" t="s">
        <v>48</v>
      </c>
      <c r="B76" s="73" t="s">
        <v>49</v>
      </c>
      <c r="C76" s="191" t="s">
        <v>50</v>
      </c>
    </row>
    <row r="77" spans="1:5" s="1" customFormat="1" x14ac:dyDescent="0.3">
      <c r="A77" s="10" t="s">
        <v>51</v>
      </c>
      <c r="B77" s="125">
        <v>3</v>
      </c>
      <c r="C77" s="171">
        <f>B77/70</f>
        <v>4.2857142857142858E-2</v>
      </c>
    </row>
    <row r="78" spans="1:5" s="1" customFormat="1" x14ac:dyDescent="0.3">
      <c r="A78" s="10" t="s">
        <v>52</v>
      </c>
      <c r="B78" s="126">
        <v>0</v>
      </c>
      <c r="C78" s="171">
        <f t="shared" ref="C78:C83" si="9">B78/70</f>
        <v>0</v>
      </c>
    </row>
    <row r="79" spans="1:5" s="1" customFormat="1" x14ac:dyDescent="0.3">
      <c r="A79" s="10" t="s">
        <v>53</v>
      </c>
      <c r="B79" s="126">
        <v>0</v>
      </c>
      <c r="C79" s="171">
        <f t="shared" si="9"/>
        <v>0</v>
      </c>
    </row>
    <row r="80" spans="1:5" s="1" customFormat="1" x14ac:dyDescent="0.3">
      <c r="A80" s="10" t="s">
        <v>54</v>
      </c>
      <c r="B80" s="126">
        <v>49</v>
      </c>
      <c r="C80" s="171">
        <f t="shared" si="9"/>
        <v>0.7</v>
      </c>
    </row>
    <row r="81" spans="1:6" s="1" customFormat="1" x14ac:dyDescent="0.3">
      <c r="A81" s="10" t="s">
        <v>55</v>
      </c>
      <c r="B81" s="126">
        <v>7</v>
      </c>
      <c r="C81" s="171">
        <f t="shared" si="9"/>
        <v>0.1</v>
      </c>
      <c r="F81" s="84"/>
    </row>
    <row r="82" spans="1:6" s="1" customFormat="1" x14ac:dyDescent="0.3">
      <c r="A82" s="10" t="s">
        <v>56</v>
      </c>
      <c r="B82" s="126">
        <v>2</v>
      </c>
      <c r="C82" s="171">
        <f t="shared" si="9"/>
        <v>2.8571428571428571E-2</v>
      </c>
    </row>
    <row r="83" spans="1:6" s="1" customFormat="1" x14ac:dyDescent="0.3">
      <c r="A83" s="10" t="s">
        <v>57</v>
      </c>
      <c r="B83" s="126">
        <v>9</v>
      </c>
      <c r="C83" s="171">
        <f t="shared" si="9"/>
        <v>0.12857142857142856</v>
      </c>
    </row>
    <row r="84" spans="1:6" s="1" customFormat="1" ht="14.5" thickBot="1" x14ac:dyDescent="0.35">
      <c r="A84" s="192" t="s">
        <v>49</v>
      </c>
      <c r="B84" s="193">
        <f>SUM(B77:B83)</f>
        <v>70</v>
      </c>
      <c r="C84" s="194">
        <f>SUM(C77:C83)</f>
        <v>0.99999999999999989</v>
      </c>
    </row>
    <row r="85" spans="1:6" s="1" customFormat="1" x14ac:dyDescent="0.3">
      <c r="A85" s="174"/>
      <c r="B85" s="174"/>
      <c r="C85" s="175"/>
      <c r="D85" s="174"/>
    </row>
    <row r="86" spans="1:6" s="1" customFormat="1" ht="14.5" thickBot="1" x14ac:dyDescent="0.35">
      <c r="A86" s="174"/>
      <c r="B86" s="174"/>
      <c r="C86" s="175"/>
      <c r="D86" s="174"/>
    </row>
    <row r="87" spans="1:6" s="1" customFormat="1" ht="14.25" customHeight="1" x14ac:dyDescent="0.3">
      <c r="A87" s="238" t="s">
        <v>58</v>
      </c>
      <c r="B87" s="239" t="s">
        <v>49</v>
      </c>
      <c r="C87" s="240" t="s">
        <v>50</v>
      </c>
      <c r="D87" s="80"/>
    </row>
    <row r="88" spans="1:6" s="1" customFormat="1" ht="14.25" customHeight="1" x14ac:dyDescent="0.3">
      <c r="A88" s="195" t="s">
        <v>59</v>
      </c>
      <c r="B88" s="130">
        <v>4</v>
      </c>
      <c r="C88" s="196">
        <v>0.45</v>
      </c>
      <c r="D88" s="80"/>
    </row>
    <row r="89" spans="1:6" s="1" customFormat="1" ht="14.25" customHeight="1" x14ac:dyDescent="0.3">
      <c r="A89" s="195" t="s">
        <v>60</v>
      </c>
      <c r="B89" s="133">
        <v>2</v>
      </c>
      <c r="C89" s="196">
        <f t="shared" ref="C89:C93" si="10">B89/9</f>
        <v>0.22222222222222221</v>
      </c>
      <c r="D89" s="80"/>
    </row>
    <row r="90" spans="1:6" s="1" customFormat="1" ht="14.25" customHeight="1" x14ac:dyDescent="0.3">
      <c r="A90" s="195" t="s">
        <v>61</v>
      </c>
      <c r="B90" s="133">
        <v>0</v>
      </c>
      <c r="C90" s="196">
        <f t="shared" si="10"/>
        <v>0</v>
      </c>
      <c r="D90" s="80"/>
    </row>
    <row r="91" spans="1:6" s="1" customFormat="1" ht="14.25" customHeight="1" x14ac:dyDescent="0.3">
      <c r="A91" s="195" t="s">
        <v>62</v>
      </c>
      <c r="B91" s="133">
        <v>1</v>
      </c>
      <c r="C91" s="196">
        <f t="shared" si="10"/>
        <v>0.1111111111111111</v>
      </c>
      <c r="D91" s="80"/>
    </row>
    <row r="92" spans="1:6" s="1" customFormat="1" ht="14.25" customHeight="1" x14ac:dyDescent="0.3">
      <c r="A92" s="195" t="s">
        <v>63</v>
      </c>
      <c r="B92" s="133">
        <v>2</v>
      </c>
      <c r="C92" s="196">
        <f t="shared" si="10"/>
        <v>0.22222222222222221</v>
      </c>
      <c r="D92" s="80"/>
    </row>
    <row r="93" spans="1:6" s="1" customFormat="1" ht="14.5" thickBot="1" x14ac:dyDescent="0.35">
      <c r="A93" s="197" t="s">
        <v>49</v>
      </c>
      <c r="B93" s="198">
        <f>SUM(B88:B92)</f>
        <v>9</v>
      </c>
      <c r="C93" s="199">
        <f t="shared" si="10"/>
        <v>1</v>
      </c>
      <c r="D93" s="17"/>
    </row>
    <row r="94" spans="1:6" s="1" customFormat="1" x14ac:dyDescent="0.3">
      <c r="A94" s="176"/>
      <c r="B94" s="177"/>
      <c r="C94" s="189"/>
      <c r="D94" s="170"/>
    </row>
    <row r="95" spans="1:6" s="1" customFormat="1" x14ac:dyDescent="0.3">
      <c r="A95" s="176"/>
      <c r="B95" s="177"/>
      <c r="C95" s="189"/>
      <c r="D95" s="170"/>
    </row>
    <row r="96" spans="1:6" s="1" customFormat="1" ht="14.5" thickBot="1" x14ac:dyDescent="0.35">
      <c r="A96" s="176"/>
      <c r="B96" s="177"/>
      <c r="C96" s="189"/>
      <c r="D96" s="170"/>
    </row>
    <row r="97" spans="1:4" s="1" customFormat="1" x14ac:dyDescent="0.3">
      <c r="A97" s="201" t="s">
        <v>64</v>
      </c>
      <c r="B97" s="202" t="s">
        <v>49</v>
      </c>
      <c r="C97" s="203" t="s">
        <v>50</v>
      </c>
      <c r="D97" s="2"/>
    </row>
    <row r="98" spans="1:4" s="1" customFormat="1" x14ac:dyDescent="0.3">
      <c r="A98" s="10" t="s">
        <v>51</v>
      </c>
      <c r="B98" s="125">
        <v>0</v>
      </c>
      <c r="C98" s="196">
        <f>B98/11</f>
        <v>0</v>
      </c>
      <c r="D98" s="2"/>
    </row>
    <row r="99" spans="1:4" s="1" customFormat="1" x14ac:dyDescent="0.3">
      <c r="A99" s="204" t="s">
        <v>52</v>
      </c>
      <c r="B99" s="126">
        <v>1</v>
      </c>
      <c r="C99" s="196">
        <f t="shared" ref="C99:C104" si="11">B99/11</f>
        <v>9.0909090909090912E-2</v>
      </c>
      <c r="D99" s="2"/>
    </row>
    <row r="100" spans="1:4" s="1" customFormat="1" x14ac:dyDescent="0.3">
      <c r="A100" s="204" t="s">
        <v>53</v>
      </c>
      <c r="B100" s="126">
        <v>0</v>
      </c>
      <c r="C100" s="196">
        <f t="shared" si="11"/>
        <v>0</v>
      </c>
      <c r="D100" s="2"/>
    </row>
    <row r="101" spans="1:4" s="1" customFormat="1" x14ac:dyDescent="0.3">
      <c r="A101" s="204" t="s">
        <v>54</v>
      </c>
      <c r="B101" s="126">
        <v>2</v>
      </c>
      <c r="C101" s="196">
        <f t="shared" si="11"/>
        <v>0.18181818181818182</v>
      </c>
      <c r="D101" s="2"/>
    </row>
    <row r="102" spans="1:4" s="1" customFormat="1" x14ac:dyDescent="0.3">
      <c r="A102" s="204" t="s">
        <v>55</v>
      </c>
      <c r="B102" s="126">
        <v>4</v>
      </c>
      <c r="C102" s="196">
        <v>0.37</v>
      </c>
      <c r="D102" s="2"/>
    </row>
    <row r="103" spans="1:4" s="1" customFormat="1" x14ac:dyDescent="0.3">
      <c r="A103" s="204" t="s">
        <v>56</v>
      </c>
      <c r="B103" s="126">
        <v>4</v>
      </c>
      <c r="C103" s="196">
        <f t="shared" si="11"/>
        <v>0.36363636363636365</v>
      </c>
      <c r="D103" s="2"/>
    </row>
    <row r="104" spans="1:4" s="1" customFormat="1" x14ac:dyDescent="0.3">
      <c r="A104" s="204" t="s">
        <v>57</v>
      </c>
      <c r="B104" s="126">
        <v>0</v>
      </c>
      <c r="C104" s="196">
        <f t="shared" si="11"/>
        <v>0</v>
      </c>
      <c r="D104" s="2"/>
    </row>
    <row r="105" spans="1:4" s="1" customFormat="1" ht="14.5" thickBot="1" x14ac:dyDescent="0.35">
      <c r="A105" s="205" t="s">
        <v>49</v>
      </c>
      <c r="B105" s="206">
        <f>SUM(B98:B104)</f>
        <v>11</v>
      </c>
      <c r="C105" s="207">
        <f>SUM(C98:C104)</f>
        <v>1.0063636363636363</v>
      </c>
      <c r="D105" s="2"/>
    </row>
    <row r="106" spans="1:4" s="1" customFormat="1" x14ac:dyDescent="0.3">
      <c r="A106" s="179"/>
      <c r="B106" s="179"/>
      <c r="C106" s="200"/>
      <c r="D106" s="181"/>
    </row>
    <row r="107" spans="1:4" s="1" customFormat="1" x14ac:dyDescent="0.3">
      <c r="A107" s="179"/>
      <c r="B107" s="179"/>
      <c r="C107" s="200"/>
      <c r="D107" s="181"/>
    </row>
    <row r="108" spans="1:4" s="1" customFormat="1" x14ac:dyDescent="0.3">
      <c r="A108" s="241" t="s">
        <v>65</v>
      </c>
      <c r="B108" s="241" t="s">
        <v>49</v>
      </c>
      <c r="C108" s="242" t="s">
        <v>50</v>
      </c>
      <c r="D108" s="2"/>
    </row>
    <row r="109" spans="1:4" s="1" customFormat="1" x14ac:dyDescent="0.3">
      <c r="A109" s="129" t="s">
        <v>59</v>
      </c>
      <c r="B109" s="130">
        <v>0</v>
      </c>
      <c r="C109" s="131">
        <v>0</v>
      </c>
      <c r="D109" s="2"/>
    </row>
    <row r="110" spans="1:4" s="1" customFormat="1" x14ac:dyDescent="0.3">
      <c r="A110" s="132" t="s">
        <v>60</v>
      </c>
      <c r="B110" s="133">
        <v>0</v>
      </c>
      <c r="C110" s="134">
        <v>0</v>
      </c>
      <c r="D110" s="2"/>
    </row>
    <row r="111" spans="1:4" s="1" customFormat="1" x14ac:dyDescent="0.3">
      <c r="A111" s="132" t="s">
        <v>61</v>
      </c>
      <c r="B111" s="133">
        <v>0</v>
      </c>
      <c r="C111" s="134">
        <v>0</v>
      </c>
      <c r="D111" s="2"/>
    </row>
    <row r="112" spans="1:4" s="1" customFormat="1" x14ac:dyDescent="0.3">
      <c r="A112" s="132" t="s">
        <v>62</v>
      </c>
      <c r="B112" s="133">
        <v>0</v>
      </c>
      <c r="C112" s="134">
        <v>0</v>
      </c>
      <c r="D112" s="2"/>
    </row>
    <row r="113" spans="1:9" s="1" customFormat="1" x14ac:dyDescent="0.3">
      <c r="A113" s="132" t="s">
        <v>63</v>
      </c>
      <c r="B113" s="133">
        <v>0</v>
      </c>
      <c r="C113" s="134">
        <v>0</v>
      </c>
      <c r="D113" s="2"/>
    </row>
    <row r="114" spans="1:9" s="1" customFormat="1" x14ac:dyDescent="0.3">
      <c r="A114" s="135" t="s">
        <v>49</v>
      </c>
      <c r="B114" s="128">
        <v>0</v>
      </c>
      <c r="C114" s="136">
        <f>SUM(C109:C113)</f>
        <v>0</v>
      </c>
      <c r="D114" s="2"/>
    </row>
    <row r="115" spans="1:9" s="1" customFormat="1" x14ac:dyDescent="0.3">
      <c r="A115" s="182"/>
      <c r="B115" s="179"/>
      <c r="C115" s="183"/>
      <c r="D115" s="181"/>
      <c r="E115" s="174"/>
      <c r="F115" s="174"/>
    </row>
    <row r="116" spans="1:9" s="1" customFormat="1" x14ac:dyDescent="0.3">
      <c r="A116" s="248" t="s">
        <v>66</v>
      </c>
      <c r="B116" s="179"/>
      <c r="C116" s="183"/>
      <c r="D116" s="181"/>
      <c r="E116" s="174"/>
      <c r="F116" s="174"/>
    </row>
    <row r="117" spans="1:9" s="1" customFormat="1" ht="14.5" thickBot="1" x14ac:dyDescent="0.35">
      <c r="A117" s="182"/>
      <c r="B117" s="179"/>
      <c r="C117" s="183"/>
      <c r="D117" s="181"/>
      <c r="E117" s="174"/>
      <c r="F117" s="174"/>
    </row>
    <row r="118" spans="1:9" x14ac:dyDescent="0.3">
      <c r="A118" s="49" t="s">
        <v>67</v>
      </c>
      <c r="B118" s="73" t="s">
        <v>68</v>
      </c>
      <c r="C118" s="9" t="s">
        <v>49</v>
      </c>
      <c r="D118" s="58" t="s">
        <v>50</v>
      </c>
      <c r="E118" s="42"/>
      <c r="F118" s="163" t="s">
        <v>69</v>
      </c>
      <c r="G118" s="9" t="s">
        <v>114</v>
      </c>
      <c r="H118" s="58" t="s">
        <v>50</v>
      </c>
      <c r="I118" s="77"/>
    </row>
    <row r="119" spans="1:9" x14ac:dyDescent="0.3">
      <c r="A119" s="25" t="s">
        <v>71</v>
      </c>
      <c r="B119" s="15" t="s">
        <v>72</v>
      </c>
      <c r="C119" s="15">
        <v>2</v>
      </c>
      <c r="D119" s="162">
        <f>C119/61</f>
        <v>3.2786885245901641E-2</v>
      </c>
      <c r="E119" s="43"/>
      <c r="F119" s="25" t="s">
        <v>72</v>
      </c>
      <c r="G119" s="15">
        <v>5</v>
      </c>
      <c r="H119" s="162">
        <f t="shared" ref="H119:H124" si="12">G119/61</f>
        <v>8.1967213114754092E-2</v>
      </c>
    </row>
    <row r="120" spans="1:9" x14ac:dyDescent="0.3">
      <c r="A120" s="25" t="s">
        <v>75</v>
      </c>
      <c r="B120" s="15" t="s">
        <v>72</v>
      </c>
      <c r="C120" s="15">
        <v>3</v>
      </c>
      <c r="D120" s="162">
        <f t="shared" ref="D120:D135" si="13">C120/61</f>
        <v>4.9180327868852458E-2</v>
      </c>
      <c r="E120" s="43"/>
      <c r="F120" s="25" t="s">
        <v>74</v>
      </c>
      <c r="G120" s="15">
        <v>1</v>
      </c>
      <c r="H120" s="162">
        <f t="shared" si="12"/>
        <v>1.6393442622950821E-2</v>
      </c>
    </row>
    <row r="121" spans="1:9" x14ac:dyDescent="0.3">
      <c r="A121" s="25" t="s">
        <v>74</v>
      </c>
      <c r="B121" s="15" t="s">
        <v>74</v>
      </c>
      <c r="C121" s="15">
        <v>1</v>
      </c>
      <c r="D121" s="162">
        <f t="shared" si="13"/>
        <v>1.6393442622950821E-2</v>
      </c>
      <c r="E121" s="43"/>
      <c r="F121" s="101" t="s">
        <v>76</v>
      </c>
      <c r="G121" s="15">
        <v>20</v>
      </c>
      <c r="H121" s="162">
        <f t="shared" si="12"/>
        <v>0.32786885245901637</v>
      </c>
    </row>
    <row r="122" spans="1:9" x14ac:dyDescent="0.3">
      <c r="A122" s="25" t="s">
        <v>83</v>
      </c>
      <c r="B122" s="15" t="s">
        <v>76</v>
      </c>
      <c r="C122" s="15">
        <v>1</v>
      </c>
      <c r="D122" s="162">
        <f t="shared" si="13"/>
        <v>1.6393442622950821E-2</v>
      </c>
      <c r="E122" s="43"/>
      <c r="F122" s="25" t="s">
        <v>78</v>
      </c>
      <c r="G122" s="15">
        <v>10</v>
      </c>
      <c r="H122" s="162">
        <f t="shared" si="12"/>
        <v>0.16393442622950818</v>
      </c>
    </row>
    <row r="123" spans="1:9" x14ac:dyDescent="0.3">
      <c r="A123" s="25" t="s">
        <v>85</v>
      </c>
      <c r="B123" s="15" t="s">
        <v>76</v>
      </c>
      <c r="C123" s="15">
        <v>4</v>
      </c>
      <c r="D123" s="162">
        <f t="shared" si="13"/>
        <v>6.5573770491803282E-2</v>
      </c>
      <c r="E123" s="43"/>
      <c r="F123" s="25" t="s">
        <v>79</v>
      </c>
      <c r="G123" s="15">
        <v>7</v>
      </c>
      <c r="H123" s="162">
        <f t="shared" si="12"/>
        <v>0.11475409836065574</v>
      </c>
    </row>
    <row r="124" spans="1:9" ht="14.5" thickBot="1" x14ac:dyDescent="0.35">
      <c r="A124" s="25" t="s">
        <v>86</v>
      </c>
      <c r="B124" s="15" t="s">
        <v>76</v>
      </c>
      <c r="C124" s="15">
        <v>7</v>
      </c>
      <c r="D124" s="162">
        <f t="shared" si="13"/>
        <v>0.11475409836065574</v>
      </c>
      <c r="E124" s="43"/>
      <c r="F124" s="34" t="s">
        <v>81</v>
      </c>
      <c r="G124" s="24">
        <v>18</v>
      </c>
      <c r="H124" s="184">
        <f t="shared" si="12"/>
        <v>0.29508196721311475</v>
      </c>
    </row>
    <row r="125" spans="1:9" x14ac:dyDescent="0.3">
      <c r="A125" s="25" t="s">
        <v>89</v>
      </c>
      <c r="B125" s="15" t="s">
        <v>76</v>
      </c>
      <c r="C125" s="15">
        <v>1</v>
      </c>
      <c r="D125" s="162">
        <f t="shared" si="13"/>
        <v>1.6393442622950821E-2</v>
      </c>
      <c r="E125" s="43"/>
      <c r="H125" s="17"/>
    </row>
    <row r="126" spans="1:9" x14ac:dyDescent="0.3">
      <c r="A126" s="25" t="s">
        <v>90</v>
      </c>
      <c r="B126" s="15" t="s">
        <v>76</v>
      </c>
      <c r="C126" s="15">
        <v>6</v>
      </c>
      <c r="D126" s="162">
        <f t="shared" si="13"/>
        <v>9.8360655737704916E-2</v>
      </c>
      <c r="E126" s="43"/>
    </row>
    <row r="127" spans="1:9" x14ac:dyDescent="0.3">
      <c r="A127" s="25" t="s">
        <v>92</v>
      </c>
      <c r="B127" s="15" t="s">
        <v>76</v>
      </c>
      <c r="C127" s="15">
        <v>1</v>
      </c>
      <c r="D127" s="162">
        <f t="shared" si="13"/>
        <v>1.6393442622950821E-2</v>
      </c>
      <c r="E127" s="43"/>
    </row>
    <row r="128" spans="1:9" x14ac:dyDescent="0.3">
      <c r="A128" s="25" t="s">
        <v>95</v>
      </c>
      <c r="B128" s="15" t="s">
        <v>78</v>
      </c>
      <c r="C128" s="15">
        <v>4</v>
      </c>
      <c r="D128" s="162">
        <f t="shared" si="13"/>
        <v>6.5573770491803282E-2</v>
      </c>
    </row>
    <row r="129" spans="1:4" x14ac:dyDescent="0.3">
      <c r="A129" s="25" t="s">
        <v>96</v>
      </c>
      <c r="B129" s="15" t="s">
        <v>78</v>
      </c>
      <c r="C129" s="15">
        <v>6</v>
      </c>
      <c r="D129" s="162">
        <f t="shared" si="13"/>
        <v>9.8360655737704916E-2</v>
      </c>
    </row>
    <row r="130" spans="1:4" x14ac:dyDescent="0.3">
      <c r="A130" s="25" t="s">
        <v>100</v>
      </c>
      <c r="B130" s="15" t="s">
        <v>79</v>
      </c>
      <c r="C130" s="15">
        <v>6</v>
      </c>
      <c r="D130" s="162">
        <f t="shared" si="13"/>
        <v>9.8360655737704916E-2</v>
      </c>
    </row>
    <row r="131" spans="1:4" x14ac:dyDescent="0.3">
      <c r="A131" s="25" t="s">
        <v>102</v>
      </c>
      <c r="B131" s="15" t="s">
        <v>79</v>
      </c>
      <c r="C131" s="15">
        <v>1</v>
      </c>
      <c r="D131" s="162">
        <f t="shared" si="13"/>
        <v>1.6393442622950821E-2</v>
      </c>
    </row>
    <row r="132" spans="1:4" x14ac:dyDescent="0.3">
      <c r="A132" s="25" t="s">
        <v>138</v>
      </c>
      <c r="B132" s="15" t="s">
        <v>81</v>
      </c>
      <c r="C132" s="15">
        <v>1</v>
      </c>
      <c r="D132" s="162">
        <f t="shared" si="13"/>
        <v>1.6393442622950821E-2</v>
      </c>
    </row>
    <row r="133" spans="1:4" x14ac:dyDescent="0.3">
      <c r="A133" s="25" t="s">
        <v>106</v>
      </c>
      <c r="B133" s="15" t="s">
        <v>81</v>
      </c>
      <c r="C133" s="15">
        <v>3</v>
      </c>
      <c r="D133" s="162">
        <f t="shared" si="13"/>
        <v>4.9180327868852458E-2</v>
      </c>
    </row>
    <row r="134" spans="1:4" x14ac:dyDescent="0.3">
      <c r="A134" s="25" t="s">
        <v>107</v>
      </c>
      <c r="B134" s="27" t="s">
        <v>81</v>
      </c>
      <c r="C134" s="15">
        <v>13</v>
      </c>
      <c r="D134" s="162">
        <f t="shared" si="13"/>
        <v>0.21311475409836064</v>
      </c>
    </row>
    <row r="135" spans="1:4" x14ac:dyDescent="0.3">
      <c r="A135" s="25" t="s">
        <v>108</v>
      </c>
      <c r="B135" s="15" t="s">
        <v>81</v>
      </c>
      <c r="C135" s="15">
        <v>1</v>
      </c>
      <c r="D135" s="162">
        <f t="shared" si="13"/>
        <v>1.6393442622950821E-2</v>
      </c>
    </row>
    <row r="136" spans="1:4" ht="14.5" thickBot="1" x14ac:dyDescent="0.35">
      <c r="A136" s="34" t="s">
        <v>109</v>
      </c>
      <c r="B136" s="40" t="s">
        <v>125</v>
      </c>
      <c r="C136" s="24">
        <v>2</v>
      </c>
      <c r="D136" s="169" t="s">
        <v>111</v>
      </c>
    </row>
    <row r="137" spans="1:4" x14ac:dyDescent="0.3">
      <c r="A137" s="37"/>
      <c r="C137" s="17"/>
    </row>
    <row r="138" spans="1:4" x14ac:dyDescent="0.3">
      <c r="A138" s="37"/>
      <c r="C138" s="17"/>
    </row>
    <row r="139" spans="1:4" x14ac:dyDescent="0.3">
      <c r="A139" s="37"/>
      <c r="C139" s="17"/>
    </row>
    <row r="140" spans="1:4" x14ac:dyDescent="0.3">
      <c r="A140" s="37"/>
      <c r="C140" s="17"/>
    </row>
    <row r="141" spans="1:4" x14ac:dyDescent="0.3">
      <c r="A141" s="37"/>
      <c r="C141" s="17"/>
    </row>
    <row r="142" spans="1:4" x14ac:dyDescent="0.3">
      <c r="A142" s="37"/>
      <c r="C142" s="17"/>
    </row>
    <row r="143" spans="1:4" x14ac:dyDescent="0.3">
      <c r="A143" s="37"/>
      <c r="C143" s="17"/>
    </row>
    <row r="144" spans="1:4" x14ac:dyDescent="0.3">
      <c r="A144" s="37"/>
      <c r="C144" s="17"/>
    </row>
    <row r="145" spans="1:8" x14ac:dyDescent="0.3">
      <c r="A145" s="37"/>
      <c r="C145" s="17"/>
    </row>
    <row r="146" spans="1:8" x14ac:dyDescent="0.3">
      <c r="A146" s="37"/>
      <c r="C146" s="17"/>
    </row>
    <row r="147" spans="1:8" x14ac:dyDescent="0.3">
      <c r="A147" s="37"/>
      <c r="C147" s="17"/>
    </row>
    <row r="148" spans="1:8" ht="14.5" thickBot="1" x14ac:dyDescent="0.35">
      <c r="C148" s="14"/>
      <c r="D148" s="14"/>
      <c r="F148" s="14"/>
    </row>
    <row r="149" spans="1:8" x14ac:dyDescent="0.3">
      <c r="A149" s="8" t="s">
        <v>112</v>
      </c>
      <c r="B149" s="73" t="s">
        <v>68</v>
      </c>
      <c r="C149" s="50" t="s">
        <v>49</v>
      </c>
      <c r="D149" s="74" t="s">
        <v>50</v>
      </c>
      <c r="E149" s="44"/>
      <c r="F149" s="163" t="s">
        <v>113</v>
      </c>
      <c r="G149" s="9" t="s">
        <v>114</v>
      </c>
      <c r="H149" s="58" t="s">
        <v>50</v>
      </c>
    </row>
    <row r="150" spans="1:8" x14ac:dyDescent="0.3">
      <c r="A150" s="25" t="s">
        <v>75</v>
      </c>
      <c r="B150" s="15" t="s">
        <v>72</v>
      </c>
      <c r="C150" s="15">
        <v>4</v>
      </c>
      <c r="D150" s="162">
        <f>C150/45</f>
        <v>8.8888888888888892E-2</v>
      </c>
      <c r="E150" s="45"/>
      <c r="F150" s="25" t="s">
        <v>72</v>
      </c>
      <c r="G150" s="15">
        <v>4</v>
      </c>
      <c r="H150" s="162">
        <f>G150/45</f>
        <v>8.8888888888888892E-2</v>
      </c>
    </row>
    <row r="151" spans="1:8" x14ac:dyDescent="0.3">
      <c r="A151" s="25" t="s">
        <v>115</v>
      </c>
      <c r="B151" s="15" t="s">
        <v>76</v>
      </c>
      <c r="C151" s="15">
        <v>2</v>
      </c>
      <c r="D151" s="162">
        <f t="shared" ref="D151:D160" si="14">C151/45</f>
        <v>4.4444444444444446E-2</v>
      </c>
      <c r="E151" s="45"/>
      <c r="F151" s="96" t="s">
        <v>76</v>
      </c>
      <c r="G151" s="15">
        <v>33</v>
      </c>
      <c r="H151" s="162">
        <f t="shared" ref="H151:H154" si="15">G151/45</f>
        <v>0.73333333333333328</v>
      </c>
    </row>
    <row r="152" spans="1:8" x14ac:dyDescent="0.3">
      <c r="A152" s="25" t="s">
        <v>85</v>
      </c>
      <c r="B152" s="15" t="s">
        <v>76</v>
      </c>
      <c r="C152" s="15">
        <v>8</v>
      </c>
      <c r="D152" s="162">
        <f t="shared" si="14"/>
        <v>0.17777777777777778</v>
      </c>
      <c r="E152" s="45"/>
      <c r="F152" s="25" t="s">
        <v>78</v>
      </c>
      <c r="G152" s="15">
        <v>1</v>
      </c>
      <c r="H152" s="162">
        <f t="shared" si="15"/>
        <v>2.2222222222222223E-2</v>
      </c>
    </row>
    <row r="153" spans="1:8" x14ac:dyDescent="0.3">
      <c r="A153" s="25" t="s">
        <v>86</v>
      </c>
      <c r="B153" s="15" t="s">
        <v>76</v>
      </c>
      <c r="C153" s="15">
        <v>5</v>
      </c>
      <c r="D153" s="162">
        <f t="shared" si="14"/>
        <v>0.1111111111111111</v>
      </c>
      <c r="E153" s="45"/>
      <c r="F153" s="25" t="s">
        <v>79</v>
      </c>
      <c r="G153" s="15">
        <v>2</v>
      </c>
      <c r="H153" s="162">
        <v>0.05</v>
      </c>
    </row>
    <row r="154" spans="1:8" ht="14.5" thickBot="1" x14ac:dyDescent="0.35">
      <c r="A154" s="25" t="s">
        <v>87</v>
      </c>
      <c r="B154" s="15" t="s">
        <v>76</v>
      </c>
      <c r="C154" s="15">
        <v>3</v>
      </c>
      <c r="D154" s="162">
        <f t="shared" si="14"/>
        <v>6.6666666666666666E-2</v>
      </c>
      <c r="E154" s="45"/>
      <c r="F154" s="34" t="s">
        <v>81</v>
      </c>
      <c r="G154" s="24">
        <v>5</v>
      </c>
      <c r="H154" s="184">
        <f t="shared" si="15"/>
        <v>0.1111111111111111</v>
      </c>
    </row>
    <row r="155" spans="1:8" x14ac:dyDescent="0.3">
      <c r="A155" s="25" t="s">
        <v>90</v>
      </c>
      <c r="B155" s="15" t="s">
        <v>76</v>
      </c>
      <c r="C155" s="15">
        <v>11</v>
      </c>
      <c r="D155" s="162">
        <f t="shared" si="14"/>
        <v>0.24444444444444444</v>
      </c>
      <c r="E155" s="45"/>
    </row>
    <row r="156" spans="1:8" x14ac:dyDescent="0.3">
      <c r="A156" s="25" t="s">
        <v>93</v>
      </c>
      <c r="B156" s="15" t="s">
        <v>76</v>
      </c>
      <c r="C156" s="15">
        <v>4</v>
      </c>
      <c r="D156" s="162">
        <f t="shared" si="14"/>
        <v>8.8888888888888892E-2</v>
      </c>
    </row>
    <row r="157" spans="1:8" x14ac:dyDescent="0.3">
      <c r="A157" s="25" t="s">
        <v>96</v>
      </c>
      <c r="B157" s="15" t="s">
        <v>78</v>
      </c>
      <c r="C157" s="15">
        <v>1</v>
      </c>
      <c r="D157" s="162">
        <f t="shared" si="14"/>
        <v>2.2222222222222223E-2</v>
      </c>
    </row>
    <row r="158" spans="1:8" x14ac:dyDescent="0.3">
      <c r="A158" s="25" t="s">
        <v>100</v>
      </c>
      <c r="B158" s="15" t="s">
        <v>79</v>
      </c>
      <c r="C158" s="15">
        <v>2</v>
      </c>
      <c r="D158" s="162">
        <f t="shared" si="14"/>
        <v>4.4444444444444446E-2</v>
      </c>
    </row>
    <row r="159" spans="1:8" x14ac:dyDescent="0.3">
      <c r="A159" s="25" t="s">
        <v>106</v>
      </c>
      <c r="B159" s="15" t="s">
        <v>81</v>
      </c>
      <c r="C159" s="15">
        <v>1</v>
      </c>
      <c r="D159" s="162">
        <f t="shared" si="14"/>
        <v>2.2222222222222223E-2</v>
      </c>
    </row>
    <row r="160" spans="1:8" x14ac:dyDescent="0.3">
      <c r="A160" s="25" t="s">
        <v>107</v>
      </c>
      <c r="B160" s="27" t="s">
        <v>81</v>
      </c>
      <c r="C160" s="15">
        <v>4</v>
      </c>
      <c r="D160" s="162">
        <f t="shared" si="14"/>
        <v>8.8888888888888892E-2</v>
      </c>
    </row>
    <row r="161" spans="1:4" ht="14.5" thickBot="1" x14ac:dyDescent="0.35">
      <c r="A161" s="34" t="s">
        <v>109</v>
      </c>
      <c r="B161" s="40" t="s">
        <v>125</v>
      </c>
      <c r="C161" s="24">
        <v>0</v>
      </c>
      <c r="D161" s="169" t="s">
        <v>111</v>
      </c>
    </row>
    <row r="162" spans="1:4" x14ac:dyDescent="0.3">
      <c r="A162" s="37"/>
      <c r="C162" s="17"/>
    </row>
    <row r="163" spans="1:4" x14ac:dyDescent="0.3">
      <c r="A163" s="37"/>
      <c r="C163" s="17"/>
    </row>
    <row r="164" spans="1:4" x14ac:dyDescent="0.3">
      <c r="A164" s="37"/>
      <c r="C164" s="17"/>
    </row>
    <row r="165" spans="1:4" x14ac:dyDescent="0.3">
      <c r="A165" s="37"/>
      <c r="C165" s="17"/>
    </row>
    <row r="166" spans="1:4" x14ac:dyDescent="0.3">
      <c r="A166" s="37"/>
      <c r="C166" s="17"/>
    </row>
    <row r="167" spans="1:4" x14ac:dyDescent="0.3">
      <c r="A167" s="37"/>
      <c r="C167" s="17"/>
    </row>
    <row r="168" spans="1:4" x14ac:dyDescent="0.3">
      <c r="A168" s="37"/>
      <c r="C168" s="17"/>
    </row>
    <row r="169" spans="1:4" x14ac:dyDescent="0.3">
      <c r="A169" s="37"/>
      <c r="C169" s="17"/>
    </row>
    <row r="170" spans="1:4" x14ac:dyDescent="0.3">
      <c r="A170" s="37"/>
      <c r="C170" s="17"/>
    </row>
    <row r="171" spans="1:4" x14ac:dyDescent="0.3">
      <c r="A171" s="37"/>
      <c r="C171" s="17"/>
    </row>
    <row r="172" spans="1:4" x14ac:dyDescent="0.3">
      <c r="A172" s="37"/>
      <c r="C172" s="17"/>
    </row>
    <row r="173" spans="1:4" x14ac:dyDescent="0.3">
      <c r="A173" s="37"/>
      <c r="C173" s="17"/>
    </row>
    <row r="174" spans="1:4" x14ac:dyDescent="0.3">
      <c r="A174" s="37"/>
      <c r="C174" s="17"/>
    </row>
    <row r="175" spans="1:4" x14ac:dyDescent="0.3">
      <c r="A175" s="37"/>
      <c r="C175" s="17"/>
    </row>
    <row r="176" spans="1:4" x14ac:dyDescent="0.3">
      <c r="A176" s="37"/>
      <c r="C176" s="17"/>
    </row>
    <row r="177" spans="1:8" x14ac:dyDescent="0.3">
      <c r="A177" s="37"/>
      <c r="C177" s="17"/>
    </row>
    <row r="178" spans="1:8" ht="14.5" thickBot="1" x14ac:dyDescent="0.35"/>
    <row r="179" spans="1:8" x14ac:dyDescent="0.3">
      <c r="A179" s="8" t="s">
        <v>119</v>
      </c>
      <c r="B179" s="9" t="s">
        <v>68</v>
      </c>
      <c r="C179" s="9" t="s">
        <v>49</v>
      </c>
      <c r="D179" s="58" t="s">
        <v>50</v>
      </c>
      <c r="E179" s="44"/>
      <c r="F179" s="163" t="s">
        <v>120</v>
      </c>
      <c r="G179" s="9" t="s">
        <v>114</v>
      </c>
      <c r="H179" s="58" t="s">
        <v>50</v>
      </c>
    </row>
    <row r="180" spans="1:8" x14ac:dyDescent="0.3">
      <c r="A180" s="25" t="s">
        <v>71</v>
      </c>
      <c r="B180" s="15" t="s">
        <v>72</v>
      </c>
      <c r="C180" s="15">
        <v>139</v>
      </c>
      <c r="D180" s="162">
        <f>C180/283</f>
        <v>0.49116607773851589</v>
      </c>
      <c r="E180" s="45"/>
      <c r="F180" s="25" t="s">
        <v>72</v>
      </c>
      <c r="G180" s="15">
        <v>182</v>
      </c>
      <c r="H180" s="162">
        <f t="shared" ref="H180:H185" si="16">G180/283</f>
        <v>0.64310954063604242</v>
      </c>
    </row>
    <row r="181" spans="1:8" x14ac:dyDescent="0.3">
      <c r="A181" s="25" t="s">
        <v>73</v>
      </c>
      <c r="B181" s="15" t="s">
        <v>72</v>
      </c>
      <c r="C181" s="15">
        <v>13</v>
      </c>
      <c r="D181" s="162">
        <f t="shared" ref="D181:D200" si="17">C181/283</f>
        <v>4.5936395759717315E-2</v>
      </c>
      <c r="E181" s="45"/>
      <c r="F181" s="25" t="s">
        <v>74</v>
      </c>
      <c r="G181" s="15">
        <v>1</v>
      </c>
      <c r="H181" s="162">
        <f t="shared" si="16"/>
        <v>3.5335689045936395E-3</v>
      </c>
    </row>
    <row r="182" spans="1:8" x14ac:dyDescent="0.3">
      <c r="A182" s="25" t="s">
        <v>75</v>
      </c>
      <c r="B182" s="15" t="s">
        <v>72</v>
      </c>
      <c r="C182" s="15">
        <v>3</v>
      </c>
      <c r="D182" s="162">
        <f t="shared" si="17"/>
        <v>1.0600706713780919E-2</v>
      </c>
      <c r="E182" s="45"/>
      <c r="F182" s="101" t="s">
        <v>76</v>
      </c>
      <c r="G182" s="15">
        <v>9</v>
      </c>
      <c r="H182" s="162">
        <f t="shared" si="16"/>
        <v>3.1802120141342753E-2</v>
      </c>
    </row>
    <row r="183" spans="1:8" x14ac:dyDescent="0.3">
      <c r="A183" s="25" t="s">
        <v>77</v>
      </c>
      <c r="B183" s="15" t="s">
        <v>72</v>
      </c>
      <c r="C183" s="15">
        <v>27</v>
      </c>
      <c r="D183" s="162">
        <f t="shared" si="17"/>
        <v>9.5406360424028266E-2</v>
      </c>
      <c r="E183" s="45"/>
      <c r="F183" s="25" t="s">
        <v>78</v>
      </c>
      <c r="G183" s="15">
        <v>1</v>
      </c>
      <c r="H183" s="162">
        <f t="shared" si="16"/>
        <v>3.5335689045936395E-3</v>
      </c>
    </row>
    <row r="184" spans="1:8" x14ac:dyDescent="0.3">
      <c r="A184" s="25" t="s">
        <v>74</v>
      </c>
      <c r="B184" s="15" t="s">
        <v>74</v>
      </c>
      <c r="C184" s="15">
        <v>1</v>
      </c>
      <c r="D184" s="162">
        <f t="shared" si="17"/>
        <v>3.5335689045936395E-3</v>
      </c>
      <c r="E184" s="45"/>
      <c r="F184" s="25" t="s">
        <v>79</v>
      </c>
      <c r="G184" s="15">
        <v>70</v>
      </c>
      <c r="H184" s="162">
        <f t="shared" si="16"/>
        <v>0.24734982332155478</v>
      </c>
    </row>
    <row r="185" spans="1:8" ht="14.5" thickBot="1" x14ac:dyDescent="0.35">
      <c r="A185" s="25" t="s">
        <v>85</v>
      </c>
      <c r="B185" s="15" t="s">
        <v>76</v>
      </c>
      <c r="C185" s="15">
        <v>3</v>
      </c>
      <c r="D185" s="162">
        <f t="shared" si="17"/>
        <v>1.0600706713780919E-2</v>
      </c>
      <c r="E185" s="45"/>
      <c r="F185" s="34" t="s">
        <v>81</v>
      </c>
      <c r="G185" s="24">
        <v>20</v>
      </c>
      <c r="H185" s="184">
        <f t="shared" si="16"/>
        <v>7.0671378091872794E-2</v>
      </c>
    </row>
    <row r="186" spans="1:8" x14ac:dyDescent="0.3">
      <c r="A186" s="25" t="s">
        <v>86</v>
      </c>
      <c r="B186" s="15" t="s">
        <v>76</v>
      </c>
      <c r="C186" s="15">
        <v>2</v>
      </c>
      <c r="D186" s="162">
        <f t="shared" si="17"/>
        <v>7.0671378091872791E-3</v>
      </c>
      <c r="E186" s="45"/>
      <c r="H186" s="17"/>
    </row>
    <row r="187" spans="1:8" x14ac:dyDescent="0.3">
      <c r="A187" s="25" t="s">
        <v>87</v>
      </c>
      <c r="B187" s="15" t="s">
        <v>76</v>
      </c>
      <c r="C187" s="15">
        <v>1</v>
      </c>
      <c r="D187" s="162">
        <f t="shared" si="17"/>
        <v>3.5335689045936395E-3</v>
      </c>
    </row>
    <row r="188" spans="1:8" x14ac:dyDescent="0.3">
      <c r="A188" s="25" t="s">
        <v>90</v>
      </c>
      <c r="B188" s="15" t="s">
        <v>76</v>
      </c>
      <c r="C188" s="15">
        <v>1</v>
      </c>
      <c r="D188" s="162">
        <f t="shared" si="17"/>
        <v>3.5335689045936395E-3</v>
      </c>
    </row>
    <row r="189" spans="1:8" x14ac:dyDescent="0.3">
      <c r="A189" s="25" t="s">
        <v>93</v>
      </c>
      <c r="B189" s="15" t="s">
        <v>76</v>
      </c>
      <c r="C189" s="15">
        <v>2</v>
      </c>
      <c r="D189" s="162">
        <f t="shared" si="17"/>
        <v>7.0671378091872791E-3</v>
      </c>
    </row>
    <row r="190" spans="1:8" x14ac:dyDescent="0.3">
      <c r="A190" s="25" t="s">
        <v>96</v>
      </c>
      <c r="B190" s="15" t="s">
        <v>78</v>
      </c>
      <c r="C190" s="15">
        <v>1</v>
      </c>
      <c r="D190" s="162">
        <f t="shared" si="17"/>
        <v>3.5335689045936395E-3</v>
      </c>
    </row>
    <row r="191" spans="1:8" x14ac:dyDescent="0.3">
      <c r="A191" s="25" t="s">
        <v>98</v>
      </c>
      <c r="B191" s="15" t="s">
        <v>79</v>
      </c>
      <c r="C191" s="15">
        <v>4</v>
      </c>
      <c r="D191" s="162">
        <f t="shared" si="17"/>
        <v>1.4134275618374558E-2</v>
      </c>
    </row>
    <row r="192" spans="1:8" x14ac:dyDescent="0.3">
      <c r="A192" s="25" t="s">
        <v>99</v>
      </c>
      <c r="B192" s="15" t="s">
        <v>79</v>
      </c>
      <c r="C192" s="15">
        <v>2</v>
      </c>
      <c r="D192" s="162">
        <f t="shared" si="17"/>
        <v>7.0671378091872791E-3</v>
      </c>
    </row>
    <row r="193" spans="1:4" x14ac:dyDescent="0.3">
      <c r="A193" s="25" t="s">
        <v>101</v>
      </c>
      <c r="B193" s="15" t="s">
        <v>79</v>
      </c>
      <c r="C193" s="15">
        <v>1</v>
      </c>
      <c r="D193" s="162">
        <f t="shared" si="17"/>
        <v>3.5335689045936395E-3</v>
      </c>
    </row>
    <row r="194" spans="1:4" x14ac:dyDescent="0.3">
      <c r="A194" s="25" t="s">
        <v>102</v>
      </c>
      <c r="B194" s="15" t="s">
        <v>79</v>
      </c>
      <c r="C194" s="15">
        <v>9</v>
      </c>
      <c r="D194" s="162">
        <f t="shared" si="17"/>
        <v>3.1802120141342753E-2</v>
      </c>
    </row>
    <row r="195" spans="1:4" x14ac:dyDescent="0.3">
      <c r="A195" s="25" t="s">
        <v>103</v>
      </c>
      <c r="B195" s="15" t="s">
        <v>79</v>
      </c>
      <c r="C195" s="15">
        <v>43</v>
      </c>
      <c r="D195" s="162">
        <f t="shared" si="17"/>
        <v>0.1519434628975265</v>
      </c>
    </row>
    <row r="196" spans="1:4" x14ac:dyDescent="0.3">
      <c r="A196" s="25" t="s">
        <v>104</v>
      </c>
      <c r="B196" s="15" t="s">
        <v>79</v>
      </c>
      <c r="C196" s="15">
        <v>11</v>
      </c>
      <c r="D196" s="162">
        <f t="shared" si="17"/>
        <v>3.8869257950530034E-2</v>
      </c>
    </row>
    <row r="197" spans="1:4" x14ac:dyDescent="0.3">
      <c r="A197" s="25" t="s">
        <v>138</v>
      </c>
      <c r="B197" s="15" t="s">
        <v>81</v>
      </c>
      <c r="C197" s="15">
        <v>9</v>
      </c>
      <c r="D197" s="162">
        <f t="shared" si="17"/>
        <v>3.1802120141342753E-2</v>
      </c>
    </row>
    <row r="198" spans="1:4" x14ac:dyDescent="0.3">
      <c r="A198" s="25" t="s">
        <v>106</v>
      </c>
      <c r="B198" s="15" t="s">
        <v>81</v>
      </c>
      <c r="C198" s="15">
        <v>8</v>
      </c>
      <c r="D198" s="162">
        <f t="shared" si="17"/>
        <v>2.8268551236749116E-2</v>
      </c>
    </row>
    <row r="199" spans="1:4" x14ac:dyDescent="0.3">
      <c r="A199" s="25" t="s">
        <v>107</v>
      </c>
      <c r="B199" s="15" t="s">
        <v>81</v>
      </c>
      <c r="C199" s="15">
        <v>1</v>
      </c>
      <c r="D199" s="162">
        <f t="shared" si="17"/>
        <v>3.5335689045936395E-3</v>
      </c>
    </row>
    <row r="200" spans="1:4" x14ac:dyDescent="0.3">
      <c r="A200" s="25" t="s">
        <v>108</v>
      </c>
      <c r="B200" s="15" t="s">
        <v>81</v>
      </c>
      <c r="C200" s="15">
        <v>2</v>
      </c>
      <c r="D200" s="162">
        <f t="shared" si="17"/>
        <v>7.0671378091872791E-3</v>
      </c>
    </row>
    <row r="201" spans="1:4" ht="14.5" thickBot="1" x14ac:dyDescent="0.35">
      <c r="A201" s="34" t="s">
        <v>109</v>
      </c>
      <c r="B201" s="24" t="s">
        <v>125</v>
      </c>
      <c r="C201" s="24">
        <v>13</v>
      </c>
      <c r="D201" s="169" t="s">
        <v>111</v>
      </c>
    </row>
    <row r="202" spans="1:4" x14ac:dyDescent="0.3">
      <c r="A202" s="37"/>
      <c r="B202" s="37"/>
      <c r="C202" s="37"/>
      <c r="D202" s="219"/>
    </row>
    <row r="203" spans="1:4" x14ac:dyDescent="0.3">
      <c r="A203" s="37"/>
      <c r="B203" s="37"/>
      <c r="C203" s="37"/>
      <c r="D203" s="219"/>
    </row>
    <row r="204" spans="1:4" x14ac:dyDescent="0.3">
      <c r="A204" s="37"/>
      <c r="B204" s="37"/>
      <c r="C204" s="37"/>
      <c r="D204" s="219"/>
    </row>
    <row r="205" spans="1:4" x14ac:dyDescent="0.3">
      <c r="A205" s="37"/>
      <c r="B205" s="37"/>
      <c r="C205" s="37"/>
      <c r="D205" s="219"/>
    </row>
    <row r="206" spans="1:4" x14ac:dyDescent="0.3">
      <c r="A206" s="37"/>
      <c r="B206" s="37"/>
      <c r="C206" s="37"/>
      <c r="D206" s="219"/>
    </row>
    <row r="207" spans="1:4" x14ac:dyDescent="0.3">
      <c r="A207" s="37"/>
      <c r="B207" s="37"/>
      <c r="C207" s="37"/>
      <c r="D207" s="219"/>
    </row>
    <row r="208" spans="1:4" x14ac:dyDescent="0.3">
      <c r="C208" s="17"/>
    </row>
    <row r="209" spans="1:8" x14ac:dyDescent="0.3">
      <c r="C209" s="17"/>
    </row>
    <row r="210" spans="1:8" ht="14.5" thickBot="1" x14ac:dyDescent="0.35">
      <c r="F210" s="14"/>
    </row>
    <row r="211" spans="1:8" x14ac:dyDescent="0.3">
      <c r="A211" s="8" t="s">
        <v>126</v>
      </c>
      <c r="B211" s="73" t="s">
        <v>68</v>
      </c>
      <c r="C211" s="9" t="s">
        <v>49</v>
      </c>
      <c r="D211" s="58" t="s">
        <v>50</v>
      </c>
      <c r="E211" s="44"/>
      <c r="F211" s="163" t="s">
        <v>127</v>
      </c>
      <c r="G211" s="9" t="s">
        <v>114</v>
      </c>
      <c r="H211" s="58" t="s">
        <v>50</v>
      </c>
    </row>
    <row r="212" spans="1:8" x14ac:dyDescent="0.3">
      <c r="A212" s="47" t="s">
        <v>71</v>
      </c>
      <c r="B212" s="25" t="s">
        <v>72</v>
      </c>
      <c r="C212" s="15">
        <v>9</v>
      </c>
      <c r="D212" s="162">
        <f>C212/145</f>
        <v>6.2068965517241378E-2</v>
      </c>
      <c r="E212" s="45"/>
      <c r="F212" s="25" t="s">
        <v>72</v>
      </c>
      <c r="G212" s="15">
        <v>16</v>
      </c>
      <c r="H212" s="162">
        <f t="shared" ref="H212:H217" si="18">G212/145</f>
        <v>0.1103448275862069</v>
      </c>
    </row>
    <row r="213" spans="1:8" x14ac:dyDescent="0.3">
      <c r="A213" s="47" t="s">
        <v>73</v>
      </c>
      <c r="B213" s="15" t="s">
        <v>72</v>
      </c>
      <c r="C213" s="15">
        <v>1</v>
      </c>
      <c r="D213" s="162">
        <f t="shared" ref="D213:D234" si="19">C213/145</f>
        <v>6.8965517241379309E-3</v>
      </c>
      <c r="E213" s="45"/>
      <c r="F213" s="25" t="s">
        <v>74</v>
      </c>
      <c r="G213" s="15">
        <v>2</v>
      </c>
      <c r="H213" s="162">
        <f t="shared" si="18"/>
        <v>1.3793103448275862E-2</v>
      </c>
    </row>
    <row r="214" spans="1:8" x14ac:dyDescent="0.3">
      <c r="A214" s="47" t="s">
        <v>75</v>
      </c>
      <c r="B214" s="15" t="s">
        <v>72</v>
      </c>
      <c r="C214" s="15">
        <v>5</v>
      </c>
      <c r="D214" s="162">
        <f t="shared" si="19"/>
        <v>3.4482758620689655E-2</v>
      </c>
      <c r="E214" s="45"/>
      <c r="F214" s="96" t="s">
        <v>76</v>
      </c>
      <c r="G214" s="15">
        <v>47</v>
      </c>
      <c r="H214" s="162">
        <f t="shared" si="18"/>
        <v>0.32413793103448274</v>
      </c>
    </row>
    <row r="215" spans="1:8" x14ac:dyDescent="0.3">
      <c r="A215" s="47" t="s">
        <v>77</v>
      </c>
      <c r="B215" s="15" t="s">
        <v>72</v>
      </c>
      <c r="C215" s="15">
        <v>1</v>
      </c>
      <c r="D215" s="162">
        <f t="shared" si="19"/>
        <v>6.8965517241379309E-3</v>
      </c>
      <c r="E215" s="45"/>
      <c r="F215" s="25" t="s">
        <v>78</v>
      </c>
      <c r="G215" s="15">
        <v>27</v>
      </c>
      <c r="H215" s="162">
        <f t="shared" si="18"/>
        <v>0.18620689655172415</v>
      </c>
    </row>
    <row r="216" spans="1:8" x14ac:dyDescent="0.3">
      <c r="A216" s="47" t="s">
        <v>74</v>
      </c>
      <c r="B216" s="41" t="s">
        <v>74</v>
      </c>
      <c r="C216" s="15">
        <v>2</v>
      </c>
      <c r="D216" s="162">
        <f t="shared" si="19"/>
        <v>1.3793103448275862E-2</v>
      </c>
      <c r="E216" s="45"/>
      <c r="F216" s="25" t="s">
        <v>79</v>
      </c>
      <c r="G216" s="15">
        <v>40</v>
      </c>
      <c r="H216" s="162">
        <f t="shared" si="18"/>
        <v>0.27586206896551724</v>
      </c>
    </row>
    <row r="217" spans="1:8" ht="14.5" thickBot="1" x14ac:dyDescent="0.35">
      <c r="A217" s="47" t="s">
        <v>115</v>
      </c>
      <c r="B217" s="15" t="s">
        <v>76</v>
      </c>
      <c r="C217" s="15">
        <v>5</v>
      </c>
      <c r="D217" s="162">
        <f t="shared" si="19"/>
        <v>3.4482758620689655E-2</v>
      </c>
      <c r="E217" s="45"/>
      <c r="F217" s="34" t="s">
        <v>81</v>
      </c>
      <c r="G217" s="24">
        <v>13</v>
      </c>
      <c r="H217" s="184">
        <f t="shared" si="18"/>
        <v>8.9655172413793102E-2</v>
      </c>
    </row>
    <row r="218" spans="1:8" x14ac:dyDescent="0.3">
      <c r="A218" s="47" t="s">
        <v>87</v>
      </c>
      <c r="B218" s="15" t="s">
        <v>76</v>
      </c>
      <c r="C218" s="15">
        <v>5</v>
      </c>
      <c r="D218" s="162">
        <f t="shared" si="19"/>
        <v>3.4482758620689655E-2</v>
      </c>
      <c r="E218" s="45"/>
      <c r="H218" s="17"/>
    </row>
    <row r="219" spans="1:8" x14ac:dyDescent="0.3">
      <c r="A219" s="47" t="s">
        <v>88</v>
      </c>
      <c r="B219" s="15" t="s">
        <v>76</v>
      </c>
      <c r="C219" s="15">
        <v>1</v>
      </c>
      <c r="D219" s="162">
        <f t="shared" si="19"/>
        <v>6.8965517241379309E-3</v>
      </c>
    </row>
    <row r="220" spans="1:8" x14ac:dyDescent="0.3">
      <c r="A220" s="47" t="s">
        <v>90</v>
      </c>
      <c r="B220" s="15" t="s">
        <v>76</v>
      </c>
      <c r="C220" s="15">
        <v>22</v>
      </c>
      <c r="D220" s="162">
        <f t="shared" si="19"/>
        <v>0.15172413793103448</v>
      </c>
    </row>
    <row r="221" spans="1:8" x14ac:dyDescent="0.3">
      <c r="A221" s="47" t="s">
        <v>91</v>
      </c>
      <c r="B221" s="15" t="s">
        <v>76</v>
      </c>
      <c r="C221" s="15">
        <v>4</v>
      </c>
      <c r="D221" s="162">
        <f t="shared" si="19"/>
        <v>2.7586206896551724E-2</v>
      </c>
    </row>
    <row r="222" spans="1:8" x14ac:dyDescent="0.3">
      <c r="A222" s="25" t="s">
        <v>93</v>
      </c>
      <c r="B222" s="15" t="s">
        <v>76</v>
      </c>
      <c r="C222" s="15">
        <v>10</v>
      </c>
      <c r="D222" s="162">
        <f t="shared" si="19"/>
        <v>6.8965517241379309E-2</v>
      </c>
    </row>
    <row r="223" spans="1:8" x14ac:dyDescent="0.3">
      <c r="A223" s="47" t="s">
        <v>94</v>
      </c>
      <c r="B223" s="15" t="s">
        <v>78</v>
      </c>
      <c r="C223" s="15">
        <v>1</v>
      </c>
      <c r="D223" s="162">
        <f t="shared" si="19"/>
        <v>6.8965517241379309E-3</v>
      </c>
    </row>
    <row r="224" spans="1:8" x14ac:dyDescent="0.3">
      <c r="A224" s="47" t="s">
        <v>95</v>
      </c>
      <c r="B224" s="15" t="s">
        <v>78</v>
      </c>
      <c r="C224" s="15">
        <v>8</v>
      </c>
      <c r="D224" s="162">
        <f t="shared" si="19"/>
        <v>5.5172413793103448E-2</v>
      </c>
    </row>
    <row r="225" spans="1:4" x14ac:dyDescent="0.3">
      <c r="A225" s="47" t="s">
        <v>96</v>
      </c>
      <c r="B225" s="15" t="s">
        <v>78</v>
      </c>
      <c r="C225" s="15">
        <v>18</v>
      </c>
      <c r="D225" s="162">
        <f t="shared" si="19"/>
        <v>0.12413793103448276</v>
      </c>
    </row>
    <row r="226" spans="1:4" x14ac:dyDescent="0.3">
      <c r="A226" s="47" t="s">
        <v>97</v>
      </c>
      <c r="B226" s="15" t="s">
        <v>79</v>
      </c>
      <c r="C226" s="15">
        <v>15</v>
      </c>
      <c r="D226" s="162">
        <f t="shared" si="19"/>
        <v>0.10344827586206896</v>
      </c>
    </row>
    <row r="227" spans="1:4" x14ac:dyDescent="0.3">
      <c r="A227" s="47" t="s">
        <v>143</v>
      </c>
      <c r="B227" s="15" t="s">
        <v>79</v>
      </c>
      <c r="C227" s="15">
        <v>5</v>
      </c>
      <c r="D227" s="162">
        <f t="shared" si="19"/>
        <v>3.4482758620689655E-2</v>
      </c>
    </row>
    <row r="228" spans="1:4" x14ac:dyDescent="0.3">
      <c r="A228" s="47" t="s">
        <v>100</v>
      </c>
      <c r="B228" s="15" t="s">
        <v>79</v>
      </c>
      <c r="C228" s="15">
        <v>10</v>
      </c>
      <c r="D228" s="162">
        <f t="shared" si="19"/>
        <v>6.8965517241379309E-2</v>
      </c>
    </row>
    <row r="229" spans="1:4" x14ac:dyDescent="0.3">
      <c r="A229" s="47" t="s">
        <v>101</v>
      </c>
      <c r="B229" s="15" t="s">
        <v>79</v>
      </c>
      <c r="C229" s="15">
        <v>2</v>
      </c>
      <c r="D229" s="162">
        <f t="shared" si="19"/>
        <v>1.3793103448275862E-2</v>
      </c>
    </row>
    <row r="230" spans="1:4" x14ac:dyDescent="0.3">
      <c r="A230" s="47" t="s">
        <v>102</v>
      </c>
      <c r="B230" s="15" t="s">
        <v>79</v>
      </c>
      <c r="C230" s="15">
        <v>7</v>
      </c>
      <c r="D230" s="162">
        <f t="shared" si="19"/>
        <v>4.8275862068965517E-2</v>
      </c>
    </row>
    <row r="231" spans="1:4" x14ac:dyDescent="0.3">
      <c r="A231" s="47" t="s">
        <v>103</v>
      </c>
      <c r="B231" s="15" t="s">
        <v>79</v>
      </c>
      <c r="C231" s="15">
        <v>1</v>
      </c>
      <c r="D231" s="162">
        <f t="shared" si="19"/>
        <v>6.8965517241379309E-3</v>
      </c>
    </row>
    <row r="232" spans="1:4" x14ac:dyDescent="0.3">
      <c r="A232" s="47" t="s">
        <v>138</v>
      </c>
      <c r="B232" s="15" t="s">
        <v>81</v>
      </c>
      <c r="C232" s="15">
        <v>1</v>
      </c>
      <c r="D232" s="162">
        <f t="shared" si="19"/>
        <v>6.8965517241379309E-3</v>
      </c>
    </row>
    <row r="233" spans="1:4" x14ac:dyDescent="0.3">
      <c r="A233" s="47" t="s">
        <v>107</v>
      </c>
      <c r="B233" s="15" t="s">
        <v>81</v>
      </c>
      <c r="C233" s="15">
        <v>10</v>
      </c>
      <c r="D233" s="162">
        <f t="shared" si="19"/>
        <v>6.8965517241379309E-2</v>
      </c>
    </row>
    <row r="234" spans="1:4" x14ac:dyDescent="0.3">
      <c r="A234" s="25" t="s">
        <v>108</v>
      </c>
      <c r="B234" s="25" t="s">
        <v>81</v>
      </c>
      <c r="C234" s="15">
        <v>2</v>
      </c>
      <c r="D234" s="162">
        <f t="shared" si="19"/>
        <v>1.3793103448275862E-2</v>
      </c>
    </row>
    <row r="235" spans="1:4" ht="14.5" thickBot="1" x14ac:dyDescent="0.35">
      <c r="A235" s="34" t="s">
        <v>130</v>
      </c>
      <c r="B235" s="24" t="s">
        <v>125</v>
      </c>
      <c r="C235" s="24">
        <v>3</v>
      </c>
      <c r="D235" s="169" t="s">
        <v>111</v>
      </c>
    </row>
    <row r="236" spans="1:4" x14ac:dyDescent="0.3">
      <c r="A236" s="37"/>
      <c r="B236" s="37"/>
      <c r="C236" s="37"/>
      <c r="D236" s="219"/>
    </row>
    <row r="237" spans="1:4" x14ac:dyDescent="0.3">
      <c r="A237" s="37"/>
      <c r="B237" s="37"/>
      <c r="C237" s="37"/>
      <c r="D237" s="219"/>
    </row>
    <row r="238" spans="1:4" x14ac:dyDescent="0.3">
      <c r="A238" s="37"/>
      <c r="B238" s="37"/>
      <c r="C238" s="37"/>
      <c r="D238" s="219"/>
    </row>
    <row r="239" spans="1:4" x14ac:dyDescent="0.3">
      <c r="A239" s="37"/>
      <c r="B239" s="37"/>
      <c r="C239" s="37"/>
      <c r="D239" s="219"/>
    </row>
    <row r="240" spans="1:4" x14ac:dyDescent="0.3">
      <c r="A240" s="37"/>
      <c r="B240" s="37"/>
      <c r="C240" s="37"/>
      <c r="D240" s="219"/>
    </row>
    <row r="241" spans="1:8" ht="14.5" thickBot="1" x14ac:dyDescent="0.35">
      <c r="A241" s="37"/>
      <c r="B241" s="37"/>
      <c r="C241" s="37"/>
      <c r="D241" s="219"/>
    </row>
    <row r="242" spans="1:8" x14ac:dyDescent="0.3">
      <c r="A242" s="8" t="s">
        <v>131</v>
      </c>
      <c r="B242" s="9" t="s">
        <v>68</v>
      </c>
      <c r="C242" s="9" t="s">
        <v>49</v>
      </c>
      <c r="D242" s="58" t="s">
        <v>50</v>
      </c>
      <c r="E242" s="44"/>
      <c r="F242" s="163" t="s">
        <v>132</v>
      </c>
      <c r="G242" s="9" t="s">
        <v>114</v>
      </c>
      <c r="H242" s="58" t="s">
        <v>50</v>
      </c>
    </row>
    <row r="243" spans="1:8" x14ac:dyDescent="0.3">
      <c r="A243" s="25" t="s">
        <v>71</v>
      </c>
      <c r="B243" s="15" t="s">
        <v>72</v>
      </c>
      <c r="C243" s="15">
        <v>3</v>
      </c>
      <c r="D243" s="162">
        <f>C243/152</f>
        <v>1.9736842105263157E-2</v>
      </c>
      <c r="E243" s="45"/>
      <c r="F243" s="25" t="s">
        <v>72</v>
      </c>
      <c r="G243" s="15">
        <v>7</v>
      </c>
      <c r="H243" s="162">
        <f t="shared" ref="H243:H248" si="20">G243/152</f>
        <v>4.6052631578947366E-2</v>
      </c>
    </row>
    <row r="244" spans="1:8" x14ac:dyDescent="0.3">
      <c r="A244" s="25" t="s">
        <v>75</v>
      </c>
      <c r="B244" s="15" t="s">
        <v>72</v>
      </c>
      <c r="C244" s="15">
        <v>3</v>
      </c>
      <c r="D244" s="162">
        <f t="shared" ref="D244:D266" si="21">C244/152</f>
        <v>1.9736842105263157E-2</v>
      </c>
      <c r="E244" s="45"/>
      <c r="F244" s="25" t="s">
        <v>74</v>
      </c>
      <c r="G244" s="15">
        <v>2</v>
      </c>
      <c r="H244" s="162">
        <f t="shared" si="20"/>
        <v>1.3157894736842105E-2</v>
      </c>
    </row>
    <row r="245" spans="1:8" x14ac:dyDescent="0.3">
      <c r="A245" s="25" t="s">
        <v>77</v>
      </c>
      <c r="B245" s="15" t="s">
        <v>72</v>
      </c>
      <c r="C245" s="15">
        <v>1</v>
      </c>
      <c r="D245" s="162">
        <f t="shared" si="21"/>
        <v>6.5789473684210523E-3</v>
      </c>
      <c r="E245" s="45"/>
      <c r="F245" s="96" t="s">
        <v>76</v>
      </c>
      <c r="G245" s="15">
        <v>109</v>
      </c>
      <c r="H245" s="162">
        <f t="shared" si="20"/>
        <v>0.71710526315789469</v>
      </c>
    </row>
    <row r="246" spans="1:8" x14ac:dyDescent="0.3">
      <c r="A246" s="25" t="s">
        <v>74</v>
      </c>
      <c r="B246" s="15" t="s">
        <v>74</v>
      </c>
      <c r="C246" s="15">
        <v>2</v>
      </c>
      <c r="D246" s="162">
        <f t="shared" si="21"/>
        <v>1.3157894736842105E-2</v>
      </c>
      <c r="E246" s="45"/>
      <c r="F246" s="25" t="s">
        <v>78</v>
      </c>
      <c r="G246" s="15">
        <v>6</v>
      </c>
      <c r="H246" s="162">
        <f t="shared" si="20"/>
        <v>3.9473684210526314E-2</v>
      </c>
    </row>
    <row r="247" spans="1:8" x14ac:dyDescent="0.3">
      <c r="A247" s="25" t="s">
        <v>115</v>
      </c>
      <c r="B247" s="15" t="s">
        <v>76</v>
      </c>
      <c r="C247" s="15">
        <v>13</v>
      </c>
      <c r="D247" s="162">
        <f t="shared" si="21"/>
        <v>8.5526315789473686E-2</v>
      </c>
      <c r="E247" s="45"/>
      <c r="F247" s="25" t="s">
        <v>79</v>
      </c>
      <c r="G247" s="15">
        <v>14</v>
      </c>
      <c r="H247" s="162">
        <f t="shared" si="20"/>
        <v>9.2105263157894732E-2</v>
      </c>
    </row>
    <row r="248" spans="1:8" ht="14.5" thickBot="1" x14ac:dyDescent="0.35">
      <c r="A248" s="25" t="s">
        <v>85</v>
      </c>
      <c r="B248" s="15" t="s">
        <v>76</v>
      </c>
      <c r="C248" s="15">
        <v>18</v>
      </c>
      <c r="D248" s="162">
        <f t="shared" si="21"/>
        <v>0.11842105263157894</v>
      </c>
      <c r="E248" s="45"/>
      <c r="F248" s="34" t="s">
        <v>81</v>
      </c>
      <c r="G248" s="24">
        <v>14</v>
      </c>
      <c r="H248" s="184">
        <f t="shared" si="20"/>
        <v>9.2105263157894732E-2</v>
      </c>
    </row>
    <row r="249" spans="1:8" x14ac:dyDescent="0.3">
      <c r="A249" s="25" t="s">
        <v>86</v>
      </c>
      <c r="B249" s="15" t="s">
        <v>76</v>
      </c>
      <c r="C249" s="15">
        <v>2</v>
      </c>
      <c r="D249" s="162">
        <f t="shared" si="21"/>
        <v>1.3157894736842105E-2</v>
      </c>
    </row>
    <row r="250" spans="1:8" x14ac:dyDescent="0.3">
      <c r="A250" s="25" t="s">
        <v>87</v>
      </c>
      <c r="B250" s="15" t="s">
        <v>76</v>
      </c>
      <c r="C250" s="15">
        <v>13</v>
      </c>
      <c r="D250" s="162">
        <f t="shared" si="21"/>
        <v>8.5526315789473686E-2</v>
      </c>
    </row>
    <row r="251" spans="1:8" x14ac:dyDescent="0.3">
      <c r="A251" s="25" t="s">
        <v>90</v>
      </c>
      <c r="B251" s="15" t="s">
        <v>76</v>
      </c>
      <c r="C251" s="15">
        <v>18</v>
      </c>
      <c r="D251" s="162">
        <f t="shared" si="21"/>
        <v>0.11842105263157894</v>
      </c>
    </row>
    <row r="252" spans="1:8" x14ac:dyDescent="0.3">
      <c r="A252" s="25" t="s">
        <v>91</v>
      </c>
      <c r="B252" s="15" t="s">
        <v>76</v>
      </c>
      <c r="C252" s="15">
        <v>30</v>
      </c>
      <c r="D252" s="162">
        <f t="shared" si="21"/>
        <v>0.19736842105263158</v>
      </c>
    </row>
    <row r="253" spans="1:8" x14ac:dyDescent="0.3">
      <c r="A253" s="25" t="s">
        <v>92</v>
      </c>
      <c r="B253" s="15" t="s">
        <v>76</v>
      </c>
      <c r="C253" s="15">
        <v>1</v>
      </c>
      <c r="D253" s="162">
        <f t="shared" si="21"/>
        <v>6.5789473684210523E-3</v>
      </c>
    </row>
    <row r="254" spans="1:8" x14ac:dyDescent="0.3">
      <c r="A254" s="25" t="s">
        <v>93</v>
      </c>
      <c r="B254" s="15" t="s">
        <v>76</v>
      </c>
      <c r="C254" s="15">
        <v>14</v>
      </c>
      <c r="D254" s="162">
        <f t="shared" si="21"/>
        <v>9.2105263157894732E-2</v>
      </c>
    </row>
    <row r="255" spans="1:8" x14ac:dyDescent="0.3">
      <c r="A255" s="25" t="s">
        <v>129</v>
      </c>
      <c r="B255" s="15" t="s">
        <v>78</v>
      </c>
      <c r="C255" s="15">
        <v>1</v>
      </c>
      <c r="D255" s="162">
        <f t="shared" si="21"/>
        <v>6.5789473684210523E-3</v>
      </c>
    </row>
    <row r="256" spans="1:8" x14ac:dyDescent="0.3">
      <c r="A256" s="25" t="s">
        <v>96</v>
      </c>
      <c r="B256" s="15" t="s">
        <v>78</v>
      </c>
      <c r="C256" s="15">
        <v>5</v>
      </c>
      <c r="D256" s="162">
        <f t="shared" si="21"/>
        <v>3.2894736842105261E-2</v>
      </c>
    </row>
    <row r="257" spans="1:4" x14ac:dyDescent="0.3">
      <c r="A257" s="25" t="s">
        <v>97</v>
      </c>
      <c r="B257" s="15" t="s">
        <v>79</v>
      </c>
      <c r="C257" s="15">
        <v>4</v>
      </c>
      <c r="D257" s="162">
        <f t="shared" si="21"/>
        <v>2.6315789473684209E-2</v>
      </c>
    </row>
    <row r="258" spans="1:4" x14ac:dyDescent="0.3">
      <c r="A258" s="25" t="s">
        <v>98</v>
      </c>
      <c r="B258" s="15" t="s">
        <v>79</v>
      </c>
      <c r="C258" s="15">
        <v>1</v>
      </c>
      <c r="D258" s="162">
        <f t="shared" si="21"/>
        <v>6.5789473684210523E-3</v>
      </c>
    </row>
    <row r="259" spans="1:4" x14ac:dyDescent="0.3">
      <c r="A259" s="25" t="s">
        <v>99</v>
      </c>
      <c r="B259" s="15" t="s">
        <v>79</v>
      </c>
      <c r="C259" s="15">
        <v>5</v>
      </c>
      <c r="D259" s="162">
        <f t="shared" si="21"/>
        <v>3.2894736842105261E-2</v>
      </c>
    </row>
    <row r="260" spans="1:4" x14ac:dyDescent="0.3">
      <c r="A260" s="25" t="s">
        <v>100</v>
      </c>
      <c r="B260" s="15" t="s">
        <v>79</v>
      </c>
      <c r="C260" s="15">
        <v>1</v>
      </c>
      <c r="D260" s="162">
        <f t="shared" si="21"/>
        <v>6.5789473684210523E-3</v>
      </c>
    </row>
    <row r="261" spans="1:4" x14ac:dyDescent="0.3">
      <c r="A261" s="25" t="s">
        <v>102</v>
      </c>
      <c r="B261" s="15" t="s">
        <v>79</v>
      </c>
      <c r="C261" s="15">
        <v>1</v>
      </c>
      <c r="D261" s="162">
        <f t="shared" si="21"/>
        <v>6.5789473684210523E-3</v>
      </c>
    </row>
    <row r="262" spans="1:4" x14ac:dyDescent="0.3">
      <c r="A262" s="25" t="s">
        <v>103</v>
      </c>
      <c r="B262" s="15" t="s">
        <v>79</v>
      </c>
      <c r="C262" s="15">
        <v>2</v>
      </c>
      <c r="D262" s="162">
        <f t="shared" si="21"/>
        <v>1.3157894736842105E-2</v>
      </c>
    </row>
    <row r="263" spans="1:4" x14ac:dyDescent="0.3">
      <c r="A263" s="25" t="s">
        <v>138</v>
      </c>
      <c r="B263" s="15" t="s">
        <v>81</v>
      </c>
      <c r="C263" s="15">
        <v>1</v>
      </c>
      <c r="D263" s="162">
        <f t="shared" si="21"/>
        <v>6.5789473684210523E-3</v>
      </c>
    </row>
    <row r="264" spans="1:4" x14ac:dyDescent="0.3">
      <c r="A264" s="25" t="s">
        <v>106</v>
      </c>
      <c r="B264" s="15" t="s">
        <v>81</v>
      </c>
      <c r="C264" s="15">
        <v>2</v>
      </c>
      <c r="D264" s="162">
        <f t="shared" si="21"/>
        <v>1.3157894736842105E-2</v>
      </c>
    </row>
    <row r="265" spans="1:4" x14ac:dyDescent="0.3">
      <c r="A265" s="25" t="s">
        <v>107</v>
      </c>
      <c r="B265" s="15" t="s">
        <v>81</v>
      </c>
      <c r="C265" s="15">
        <v>4</v>
      </c>
      <c r="D265" s="162">
        <f t="shared" si="21"/>
        <v>2.6315789473684209E-2</v>
      </c>
    </row>
    <row r="266" spans="1:4" x14ac:dyDescent="0.3">
      <c r="A266" s="25" t="s">
        <v>108</v>
      </c>
      <c r="B266" s="15" t="s">
        <v>81</v>
      </c>
      <c r="C266" s="15">
        <v>7</v>
      </c>
      <c r="D266" s="162">
        <f t="shared" si="21"/>
        <v>4.6052631578947366E-2</v>
      </c>
    </row>
    <row r="267" spans="1:4" ht="14.5" thickBot="1" x14ac:dyDescent="0.35">
      <c r="A267" s="34" t="s">
        <v>130</v>
      </c>
      <c r="B267" s="24" t="s">
        <v>125</v>
      </c>
      <c r="C267" s="24">
        <v>3</v>
      </c>
      <c r="D267" s="169" t="s">
        <v>111</v>
      </c>
    </row>
  </sheetData>
  <sheetProtection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FFC000"/>
  </sheetPr>
  <dimension ref="A1:H301"/>
  <sheetViews>
    <sheetView showGridLines="0" zoomScale="75" zoomScaleNormal="75" workbookViewId="0">
      <selection activeCell="B15" sqref="B15"/>
    </sheetView>
  </sheetViews>
  <sheetFormatPr defaultColWidth="9" defaultRowHeight="14" x14ac:dyDescent="0.3"/>
  <cols>
    <col min="1" max="1" width="83.1796875" style="13" customWidth="1"/>
    <col min="2" max="2" width="24.54296875" style="13" customWidth="1"/>
    <col min="3" max="3" width="17.54296875" style="13" bestFit="1" customWidth="1"/>
    <col min="4" max="4" width="17.26953125" style="13" bestFit="1" customWidth="1"/>
    <col min="5" max="5" width="20.1796875" style="13" customWidth="1"/>
    <col min="6" max="6" width="74.81640625" style="13" customWidth="1"/>
    <col min="7" max="7" width="11" style="13" bestFit="1" customWidth="1"/>
    <col min="8" max="8" width="14" style="13" bestFit="1" customWidth="1"/>
    <col min="9" max="16384" width="9" style="13"/>
  </cols>
  <sheetData>
    <row r="1" spans="1:6" x14ac:dyDescent="0.3">
      <c r="A1" s="59" t="s">
        <v>144</v>
      </c>
      <c r="B1" s="60" t="s">
        <v>1</v>
      </c>
      <c r="C1" s="60" t="s">
        <v>2</v>
      </c>
      <c r="D1" s="60" t="s">
        <v>3</v>
      </c>
      <c r="E1" s="62" t="s">
        <v>4</v>
      </c>
    </row>
    <row r="2" spans="1:6" x14ac:dyDescent="0.3">
      <c r="A2" s="28" t="s">
        <v>5</v>
      </c>
      <c r="B2" s="29">
        <v>30</v>
      </c>
      <c r="C2" s="29">
        <v>30</v>
      </c>
      <c r="D2" s="29">
        <v>30</v>
      </c>
      <c r="E2" s="30">
        <v>30</v>
      </c>
    </row>
    <row r="3" spans="1:6" x14ac:dyDescent="0.3">
      <c r="A3" s="28" t="s">
        <v>6</v>
      </c>
      <c r="B3" s="29">
        <v>30</v>
      </c>
      <c r="C3" s="29">
        <v>30</v>
      </c>
      <c r="D3" s="29">
        <v>30</v>
      </c>
      <c r="E3" s="30">
        <v>30</v>
      </c>
    </row>
    <row r="4" spans="1:6" x14ac:dyDescent="0.3">
      <c r="A4" s="28" t="s">
        <v>7</v>
      </c>
      <c r="B4" s="29">
        <v>30</v>
      </c>
      <c r="C4" s="29">
        <v>30</v>
      </c>
      <c r="D4" s="29">
        <v>30</v>
      </c>
      <c r="E4" s="30">
        <v>30</v>
      </c>
    </row>
    <row r="5" spans="1:6" x14ac:dyDescent="0.3">
      <c r="A5" s="28" t="s">
        <v>8</v>
      </c>
      <c r="B5" s="29">
        <v>22</v>
      </c>
      <c r="C5" s="29">
        <v>22</v>
      </c>
      <c r="D5" s="29">
        <v>22</v>
      </c>
      <c r="E5" s="30">
        <v>22</v>
      </c>
    </row>
    <row r="6" spans="1:6" x14ac:dyDescent="0.3">
      <c r="A6" s="31" t="s">
        <v>9</v>
      </c>
      <c r="B6" s="32">
        <v>15</v>
      </c>
      <c r="C6" s="32">
        <v>16</v>
      </c>
      <c r="D6" s="32">
        <v>16</v>
      </c>
      <c r="E6" s="33">
        <v>16</v>
      </c>
    </row>
    <row r="9" spans="1:6" ht="14.5" thickBot="1" x14ac:dyDescent="0.35"/>
    <row r="10" spans="1:6" x14ac:dyDescent="0.3">
      <c r="A10" s="8" t="s">
        <v>135</v>
      </c>
      <c r="B10" s="9" t="s">
        <v>1</v>
      </c>
      <c r="C10" s="9" t="s">
        <v>2</v>
      </c>
      <c r="D10" s="9" t="s">
        <v>3</v>
      </c>
      <c r="E10" s="58" t="s">
        <v>4</v>
      </c>
    </row>
    <row r="11" spans="1:6" x14ac:dyDescent="0.3">
      <c r="A11" s="10" t="s">
        <v>11</v>
      </c>
      <c r="B11" s="15">
        <v>1025</v>
      </c>
      <c r="C11" s="15">
        <v>1023</v>
      </c>
      <c r="D11" s="15">
        <v>1028</v>
      </c>
      <c r="E11" s="69">
        <v>1000</v>
      </c>
    </row>
    <row r="12" spans="1:6" x14ac:dyDescent="0.3">
      <c r="A12" s="10" t="s">
        <v>12</v>
      </c>
      <c r="B12" s="15">
        <v>1771</v>
      </c>
      <c r="C12" s="15">
        <v>1734</v>
      </c>
      <c r="D12" s="15">
        <v>1741</v>
      </c>
      <c r="E12" s="69">
        <v>1711</v>
      </c>
    </row>
    <row r="13" spans="1:6" x14ac:dyDescent="0.3">
      <c r="A13" s="10" t="s">
        <v>13</v>
      </c>
      <c r="B13" s="23">
        <v>360692.52</v>
      </c>
      <c r="C13" s="23">
        <v>358589.31</v>
      </c>
      <c r="D13" s="23">
        <v>360480.18</v>
      </c>
      <c r="E13" s="68">
        <v>352261.8</v>
      </c>
    </row>
    <row r="14" spans="1:6" x14ac:dyDescent="0.3">
      <c r="A14" s="10" t="s">
        <v>14</v>
      </c>
      <c r="B14" s="23">
        <f>B13/B11*52</f>
        <v>18298.547356097562</v>
      </c>
      <c r="C14" s="23">
        <f>C13/C11*52</f>
        <v>18227.413607038121</v>
      </c>
      <c r="D14" s="23">
        <f t="shared" ref="D14:E14" si="0">D13/D11*52</f>
        <v>18234.405992217897</v>
      </c>
      <c r="E14" s="68">
        <f t="shared" si="0"/>
        <v>18317.613600000001</v>
      </c>
    </row>
    <row r="15" spans="1:6" x14ac:dyDescent="0.3">
      <c r="A15" s="10" t="s">
        <v>15</v>
      </c>
      <c r="B15" s="23">
        <f>B13*52</f>
        <v>18756011.039999999</v>
      </c>
      <c r="C15" s="23">
        <f>C13*52</f>
        <v>18646644.120000001</v>
      </c>
      <c r="D15" s="23">
        <f t="shared" ref="D15:E15" si="1">D13*52</f>
        <v>18744969.359999999</v>
      </c>
      <c r="E15" s="68">
        <f t="shared" si="1"/>
        <v>18317613.599999998</v>
      </c>
      <c r="F15" s="173"/>
    </row>
    <row r="16" spans="1:6" ht="14.5" thickBot="1" x14ac:dyDescent="0.35">
      <c r="A16" s="114" t="s">
        <v>16</v>
      </c>
      <c r="B16" s="24">
        <v>497</v>
      </c>
      <c r="C16" s="24">
        <v>512</v>
      </c>
      <c r="D16" s="24">
        <v>531</v>
      </c>
      <c r="E16" s="70">
        <v>558</v>
      </c>
    </row>
    <row r="17" spans="1:6" x14ac:dyDescent="0.3">
      <c r="A17" s="112" t="s">
        <v>17</v>
      </c>
      <c r="B17" s="140">
        <v>680</v>
      </c>
      <c r="C17" s="140">
        <v>676</v>
      </c>
      <c r="D17" s="140">
        <v>652</v>
      </c>
      <c r="E17" s="113">
        <v>652</v>
      </c>
      <c r="F17" s="51"/>
    </row>
    <row r="18" spans="1:6" x14ac:dyDescent="0.3">
      <c r="A18" s="25" t="s">
        <v>18</v>
      </c>
      <c r="B18" s="41">
        <v>91</v>
      </c>
      <c r="C18" s="41">
        <v>91</v>
      </c>
      <c r="D18" s="41">
        <v>101</v>
      </c>
      <c r="E18" s="86">
        <v>100</v>
      </c>
      <c r="F18" s="93"/>
    </row>
    <row r="19" spans="1:6" x14ac:dyDescent="0.3">
      <c r="A19" s="78" t="s">
        <v>19</v>
      </c>
      <c r="B19" s="122">
        <f>B18/B17</f>
        <v>0.1338235294117647</v>
      </c>
      <c r="C19" s="122">
        <f>C18/C17</f>
        <v>0.13461538461538461</v>
      </c>
      <c r="D19" s="122">
        <f>D18/D17</f>
        <v>0.15490797546012269</v>
      </c>
      <c r="E19" s="185">
        <f>E18/E17</f>
        <v>0.15337423312883436</v>
      </c>
      <c r="F19" s="93"/>
    </row>
    <row r="20" spans="1:6" ht="14.5" thickBot="1" x14ac:dyDescent="0.35">
      <c r="A20" s="34" t="s">
        <v>20</v>
      </c>
      <c r="B20" s="72">
        <v>132</v>
      </c>
      <c r="C20" s="72">
        <v>133</v>
      </c>
      <c r="D20" s="72">
        <v>137</v>
      </c>
      <c r="E20" s="142">
        <v>128</v>
      </c>
      <c r="F20" s="51"/>
    </row>
    <row r="21" spans="1:6" x14ac:dyDescent="0.3">
      <c r="A21" s="112" t="s">
        <v>21</v>
      </c>
      <c r="B21" s="140">
        <v>87</v>
      </c>
      <c r="C21" s="140">
        <v>100</v>
      </c>
      <c r="D21" s="140">
        <v>119</v>
      </c>
      <c r="E21" s="141">
        <v>117</v>
      </c>
      <c r="F21" s="51"/>
    </row>
    <row r="22" spans="1:6" x14ac:dyDescent="0.3">
      <c r="A22" s="25" t="s">
        <v>136</v>
      </c>
      <c r="B22" s="41">
        <v>37</v>
      </c>
      <c r="C22" s="41">
        <v>56</v>
      </c>
      <c r="D22" s="41">
        <v>69</v>
      </c>
      <c r="E22" s="86">
        <v>69</v>
      </c>
      <c r="F22" s="93"/>
    </row>
    <row r="23" spans="1:6" x14ac:dyDescent="0.3">
      <c r="A23" s="25" t="s">
        <v>23</v>
      </c>
      <c r="B23" s="41">
        <v>0</v>
      </c>
      <c r="C23" s="41">
        <v>0</v>
      </c>
      <c r="D23" s="41">
        <v>3</v>
      </c>
      <c r="E23" s="86">
        <v>5</v>
      </c>
      <c r="F23" s="51"/>
    </row>
    <row r="24" spans="1:6" x14ac:dyDescent="0.3">
      <c r="A24" s="25" t="s">
        <v>24</v>
      </c>
      <c r="B24" s="15">
        <v>45</v>
      </c>
      <c r="C24" s="15">
        <v>42</v>
      </c>
      <c r="D24" s="15">
        <v>53</v>
      </c>
      <c r="E24" s="69">
        <v>45</v>
      </c>
      <c r="F24" s="51"/>
    </row>
    <row r="25" spans="1:6" ht="14.5" thickBot="1" x14ac:dyDescent="0.35">
      <c r="A25" s="34" t="s">
        <v>25</v>
      </c>
      <c r="B25" s="143">
        <f>(B24+B23+B21)/(B11-B26)</f>
        <v>0.13983050847457626</v>
      </c>
      <c r="C25" s="143">
        <f t="shared" ref="C25:E25" si="2">(C24+C23+C21)/(C11-C26)</f>
        <v>0.14931650893796003</v>
      </c>
      <c r="D25" s="143">
        <f>(D24+D23+D21)/(D11-D26)</f>
        <v>0.18153526970954356</v>
      </c>
      <c r="E25" s="184">
        <f t="shared" si="2"/>
        <v>0.17634635691657866</v>
      </c>
      <c r="F25" s="51"/>
    </row>
    <row r="26" spans="1:6" ht="14.5" thickBot="1" x14ac:dyDescent="0.35">
      <c r="A26" s="115" t="s">
        <v>26</v>
      </c>
      <c r="B26" s="118">
        <v>81</v>
      </c>
      <c r="C26" s="118">
        <v>72</v>
      </c>
      <c r="D26" s="118">
        <v>64</v>
      </c>
      <c r="E26" s="119">
        <v>53</v>
      </c>
      <c r="F26" s="51"/>
    </row>
    <row r="27" spans="1:6" x14ac:dyDescent="0.3">
      <c r="A27" s="112" t="s">
        <v>27</v>
      </c>
      <c r="B27" s="46">
        <v>426</v>
      </c>
      <c r="C27" s="46">
        <v>413</v>
      </c>
      <c r="D27" s="46">
        <v>373</v>
      </c>
      <c r="E27" s="113">
        <v>381</v>
      </c>
    </row>
    <row r="28" spans="1:6" x14ac:dyDescent="0.3">
      <c r="A28" s="25" t="s">
        <v>28</v>
      </c>
      <c r="B28" s="15">
        <v>198</v>
      </c>
      <c r="C28" s="15">
        <v>194</v>
      </c>
      <c r="D28" s="15">
        <v>169</v>
      </c>
      <c r="E28" s="69">
        <v>143</v>
      </c>
    </row>
    <row r="29" spans="1:6" ht="14.5" thickBot="1" x14ac:dyDescent="0.35">
      <c r="A29" s="34" t="s">
        <v>29</v>
      </c>
      <c r="B29" s="24">
        <v>202</v>
      </c>
      <c r="C29" s="24">
        <v>196</v>
      </c>
      <c r="D29" s="24">
        <v>164</v>
      </c>
      <c r="E29" s="70">
        <v>171</v>
      </c>
    </row>
    <row r="32" spans="1:6" ht="14.5" thickBot="1" x14ac:dyDescent="0.35"/>
    <row r="33" spans="1:6" x14ac:dyDescent="0.3">
      <c r="A33" s="8" t="s">
        <v>30</v>
      </c>
      <c r="B33" s="9" t="s">
        <v>1</v>
      </c>
      <c r="C33" s="9" t="s">
        <v>2</v>
      </c>
      <c r="D33" s="9" t="s">
        <v>3</v>
      </c>
      <c r="E33" s="58" t="s">
        <v>4</v>
      </c>
    </row>
    <row r="34" spans="1:6" x14ac:dyDescent="0.3">
      <c r="A34" s="25" t="s">
        <v>11</v>
      </c>
      <c r="B34" s="15">
        <v>552</v>
      </c>
      <c r="C34" s="15">
        <v>550</v>
      </c>
      <c r="D34" s="15">
        <v>568</v>
      </c>
      <c r="E34" s="69">
        <v>576</v>
      </c>
    </row>
    <row r="35" spans="1:6" x14ac:dyDescent="0.3">
      <c r="A35" s="25" t="s">
        <v>13</v>
      </c>
      <c r="B35" s="23">
        <v>217208.47</v>
      </c>
      <c r="C35" s="23">
        <v>216766.18</v>
      </c>
      <c r="D35" s="23">
        <v>216722.73</v>
      </c>
      <c r="E35" s="68">
        <v>219497.16</v>
      </c>
    </row>
    <row r="36" spans="1:6" x14ac:dyDescent="0.3">
      <c r="A36" s="25" t="s">
        <v>14</v>
      </c>
      <c r="B36" s="23">
        <f>B35*52/B34</f>
        <v>20461.667463768114</v>
      </c>
      <c r="C36" s="23">
        <f>C35*52/C34</f>
        <v>20494.257018181816</v>
      </c>
      <c r="D36" s="23">
        <f t="shared" ref="D36:E36" si="3">D35*52/D34</f>
        <v>19840.813309859157</v>
      </c>
      <c r="E36" s="68">
        <f t="shared" si="3"/>
        <v>19815.715833333335</v>
      </c>
    </row>
    <row r="37" spans="1:6" x14ac:dyDescent="0.3">
      <c r="A37" s="25" t="s">
        <v>15</v>
      </c>
      <c r="B37" s="23">
        <f>B35*52</f>
        <v>11294840.439999999</v>
      </c>
      <c r="C37" s="23">
        <f>C35*52</f>
        <v>11271841.359999999</v>
      </c>
      <c r="D37" s="23">
        <f t="shared" ref="D37:E37" si="4">D35*52</f>
        <v>11269581.960000001</v>
      </c>
      <c r="E37" s="68">
        <f t="shared" si="4"/>
        <v>11413852.32</v>
      </c>
    </row>
    <row r="38" spans="1:6" ht="14.5" thickBot="1" x14ac:dyDescent="0.35">
      <c r="A38" s="34" t="s">
        <v>16</v>
      </c>
      <c r="B38" s="72">
        <v>906</v>
      </c>
      <c r="C38" s="24">
        <v>926</v>
      </c>
      <c r="D38" s="24">
        <v>919</v>
      </c>
      <c r="E38" s="70">
        <v>949</v>
      </c>
    </row>
    <row r="39" spans="1:6" x14ac:dyDescent="0.3">
      <c r="A39" s="112" t="s">
        <v>31</v>
      </c>
      <c r="B39" s="140">
        <v>373</v>
      </c>
      <c r="C39" s="140">
        <v>392</v>
      </c>
      <c r="D39" s="46">
        <v>412</v>
      </c>
      <c r="E39" s="113">
        <v>399</v>
      </c>
      <c r="F39" s="51"/>
    </row>
    <row r="40" spans="1:6" x14ac:dyDescent="0.3">
      <c r="A40" s="25" t="s">
        <v>32</v>
      </c>
      <c r="B40" s="41">
        <v>125</v>
      </c>
      <c r="C40" s="41">
        <v>130</v>
      </c>
      <c r="D40" s="15">
        <v>136</v>
      </c>
      <c r="E40" s="69">
        <v>135</v>
      </c>
    </row>
    <row r="41" spans="1:6" x14ac:dyDescent="0.3">
      <c r="A41" s="78" t="s">
        <v>19</v>
      </c>
      <c r="B41" s="122">
        <f>B40/B39</f>
        <v>0.33512064343163539</v>
      </c>
      <c r="C41" s="122">
        <f t="shared" ref="C41:E41" si="5">C40/C39</f>
        <v>0.33163265306122447</v>
      </c>
      <c r="D41" s="122">
        <f t="shared" si="5"/>
        <v>0.3300970873786408</v>
      </c>
      <c r="E41" s="185">
        <f t="shared" si="5"/>
        <v>0.33834586466165412</v>
      </c>
    </row>
    <row r="42" spans="1:6" ht="14.5" thickBot="1" x14ac:dyDescent="0.35">
      <c r="A42" s="34" t="s">
        <v>33</v>
      </c>
      <c r="B42" s="72">
        <v>37</v>
      </c>
      <c r="C42" s="72">
        <v>33</v>
      </c>
      <c r="D42" s="24">
        <v>33</v>
      </c>
      <c r="E42" s="70">
        <v>45</v>
      </c>
      <c r="F42" s="51"/>
    </row>
    <row r="43" spans="1:6" x14ac:dyDescent="0.3">
      <c r="A43" s="112" t="s">
        <v>34</v>
      </c>
      <c r="B43" s="140">
        <v>67</v>
      </c>
      <c r="C43" s="140">
        <v>70</v>
      </c>
      <c r="D43" s="46">
        <v>73</v>
      </c>
      <c r="E43" s="113">
        <v>81</v>
      </c>
      <c r="F43" s="51"/>
    </row>
    <row r="44" spans="1:6" x14ac:dyDescent="0.3">
      <c r="A44" s="25" t="s">
        <v>35</v>
      </c>
      <c r="B44" s="41">
        <v>12</v>
      </c>
      <c r="C44" s="41">
        <v>17</v>
      </c>
      <c r="D44" s="15">
        <v>21</v>
      </c>
      <c r="E44" s="69">
        <v>26</v>
      </c>
    </row>
    <row r="45" spans="1:6" x14ac:dyDescent="0.3">
      <c r="A45" s="25" t="s">
        <v>36</v>
      </c>
      <c r="B45" s="41">
        <v>8</v>
      </c>
      <c r="C45" s="41">
        <v>12</v>
      </c>
      <c r="D45" s="15">
        <v>12</v>
      </c>
      <c r="E45" s="69">
        <v>16</v>
      </c>
      <c r="F45" s="51"/>
    </row>
    <row r="46" spans="1:6" x14ac:dyDescent="0.3">
      <c r="A46" s="25" t="s">
        <v>37</v>
      </c>
      <c r="B46" s="41">
        <v>5</v>
      </c>
      <c r="C46" s="41">
        <v>6</v>
      </c>
      <c r="D46" s="15">
        <v>8</v>
      </c>
      <c r="E46" s="69">
        <v>11</v>
      </c>
      <c r="F46" s="51"/>
    </row>
    <row r="47" spans="1:6" ht="14.5" thickBot="1" x14ac:dyDescent="0.35">
      <c r="A47" s="34" t="s">
        <v>25</v>
      </c>
      <c r="B47" s="143">
        <f>(B46+B45+B43)/(B34-B48)</f>
        <v>0.16326530612244897</v>
      </c>
      <c r="C47" s="143">
        <f t="shared" ref="C47:E47" si="6">(C46+C45+C43)/(C34-C48)</f>
        <v>0.17153996101364521</v>
      </c>
      <c r="D47" s="143">
        <f t="shared" si="6"/>
        <v>0.17286245353159851</v>
      </c>
      <c r="E47" s="184">
        <f t="shared" si="6"/>
        <v>0.19565217391304349</v>
      </c>
      <c r="F47" s="51"/>
    </row>
    <row r="48" spans="1:6" ht="14.5" thickBot="1" x14ac:dyDescent="0.35">
      <c r="A48" s="115" t="s">
        <v>26</v>
      </c>
      <c r="B48" s="150">
        <v>62</v>
      </c>
      <c r="C48" s="150">
        <v>37</v>
      </c>
      <c r="D48" s="118">
        <v>30</v>
      </c>
      <c r="E48" s="119">
        <v>24</v>
      </c>
      <c r="F48" s="51"/>
    </row>
    <row r="49" spans="1:8" x14ac:dyDescent="0.3">
      <c r="A49" s="112" t="s">
        <v>27</v>
      </c>
      <c r="B49" s="46">
        <v>374</v>
      </c>
      <c r="C49" s="46">
        <v>240</v>
      </c>
      <c r="D49" s="46">
        <v>231</v>
      </c>
      <c r="E49" s="113">
        <v>218</v>
      </c>
    </row>
    <row r="50" spans="1:8" x14ac:dyDescent="0.3">
      <c r="A50" s="25" t="s">
        <v>28</v>
      </c>
      <c r="B50" s="102">
        <v>76</v>
      </c>
      <c r="C50" s="102">
        <v>47</v>
      </c>
      <c r="D50" s="102">
        <v>73</v>
      </c>
      <c r="E50" s="103">
        <v>47</v>
      </c>
    </row>
    <row r="51" spans="1:8" ht="14.5" thickBot="1" x14ac:dyDescent="0.35">
      <c r="A51" s="34" t="s">
        <v>29</v>
      </c>
      <c r="B51" s="40">
        <v>60</v>
      </c>
      <c r="C51" s="40">
        <v>49</v>
      </c>
      <c r="D51" s="40">
        <v>55</v>
      </c>
      <c r="E51" s="83">
        <v>39</v>
      </c>
    </row>
    <row r="52" spans="1:8" x14ac:dyDescent="0.3">
      <c r="A52" s="16"/>
    </row>
    <row r="54" spans="1:8" ht="14.5" thickBot="1" x14ac:dyDescent="0.35"/>
    <row r="55" spans="1:8" x14ac:dyDescent="0.3">
      <c r="A55" s="8" t="s">
        <v>137</v>
      </c>
      <c r="B55" s="9" t="s">
        <v>1</v>
      </c>
      <c r="C55" s="9" t="s">
        <v>2</v>
      </c>
      <c r="D55" s="9" t="s">
        <v>3</v>
      </c>
      <c r="E55" s="58" t="s">
        <v>4</v>
      </c>
    </row>
    <row r="56" spans="1:8" x14ac:dyDescent="0.3">
      <c r="A56" s="25" t="s">
        <v>39</v>
      </c>
      <c r="B56" s="15">
        <v>1343</v>
      </c>
      <c r="C56" s="15">
        <v>1399</v>
      </c>
      <c r="D56" s="15">
        <v>1411</v>
      </c>
      <c r="E56" s="69">
        <v>1470</v>
      </c>
      <c r="F56" s="187"/>
    </row>
    <row r="57" spans="1:8" x14ac:dyDescent="0.3">
      <c r="A57" s="25" t="s">
        <v>40</v>
      </c>
      <c r="B57" s="15">
        <v>209</v>
      </c>
      <c r="C57" s="15">
        <v>233</v>
      </c>
      <c r="D57" s="15">
        <v>236</v>
      </c>
      <c r="E57" s="69">
        <v>276</v>
      </c>
    </row>
    <row r="58" spans="1:8" x14ac:dyDescent="0.3">
      <c r="A58" s="25" t="s">
        <v>41</v>
      </c>
      <c r="B58" s="15">
        <v>689</v>
      </c>
      <c r="C58" s="15">
        <v>680</v>
      </c>
      <c r="D58" s="15">
        <v>650</v>
      </c>
      <c r="E58" s="69">
        <v>637</v>
      </c>
    </row>
    <row r="59" spans="1:8" ht="14.5" thickBot="1" x14ac:dyDescent="0.35">
      <c r="A59" s="34" t="s">
        <v>42</v>
      </c>
      <c r="B59" s="24">
        <v>445</v>
      </c>
      <c r="C59" s="24">
        <v>486</v>
      </c>
      <c r="D59" s="24">
        <v>525</v>
      </c>
      <c r="E59" s="70">
        <v>557</v>
      </c>
      <c r="F59" s="186"/>
    </row>
    <row r="60" spans="1:8" x14ac:dyDescent="0.3">
      <c r="A60" s="112" t="s">
        <v>43</v>
      </c>
      <c r="B60" s="46">
        <v>517</v>
      </c>
      <c r="C60" s="46">
        <v>519</v>
      </c>
      <c r="D60" s="46">
        <v>516</v>
      </c>
      <c r="E60" s="113">
        <v>513</v>
      </c>
    </row>
    <row r="61" spans="1:8" x14ac:dyDescent="0.3">
      <c r="A61" s="25" t="s">
        <v>44</v>
      </c>
      <c r="B61" s="23">
        <v>204114.41</v>
      </c>
      <c r="C61" s="23">
        <v>217847.84</v>
      </c>
      <c r="D61" s="23">
        <v>214000.56</v>
      </c>
      <c r="E61" s="68">
        <v>209155.87</v>
      </c>
    </row>
    <row r="62" spans="1:8" x14ac:dyDescent="0.3">
      <c r="A62" s="25" t="s">
        <v>14</v>
      </c>
      <c r="B62" s="23">
        <f>B61/B60*52</f>
        <v>20529.882630560929</v>
      </c>
      <c r="C62" s="23">
        <f>C61/C60*52</f>
        <v>21826.758535645469</v>
      </c>
      <c r="D62" s="23">
        <f t="shared" ref="D62:E62" si="7">D61/D60*52</f>
        <v>21565.947906976744</v>
      </c>
      <c r="E62" s="68">
        <f t="shared" si="7"/>
        <v>21200.984873294346</v>
      </c>
    </row>
    <row r="63" spans="1:8" ht="14.5" thickBot="1" x14ac:dyDescent="0.35">
      <c r="A63" s="34" t="s">
        <v>15</v>
      </c>
      <c r="B63" s="120">
        <f>B61*52</f>
        <v>10613949.32</v>
      </c>
      <c r="C63" s="120">
        <f>C61*52</f>
        <v>11328087.68</v>
      </c>
      <c r="D63" s="120">
        <f t="shared" ref="D63:E63" si="8">D61*52</f>
        <v>11128029.119999999</v>
      </c>
      <c r="E63" s="121">
        <f t="shared" si="8"/>
        <v>10876105.24</v>
      </c>
      <c r="H63" s="173"/>
    </row>
    <row r="64" spans="1:8" x14ac:dyDescent="0.3">
      <c r="A64" s="112" t="s">
        <v>45</v>
      </c>
      <c r="B64" s="46">
        <v>33</v>
      </c>
      <c r="C64" s="46">
        <v>47</v>
      </c>
      <c r="D64" s="46">
        <v>42</v>
      </c>
      <c r="E64" s="113">
        <v>27</v>
      </c>
    </row>
    <row r="65" spans="1:6" x14ac:dyDescent="0.3">
      <c r="A65" s="78" t="s">
        <v>46</v>
      </c>
      <c r="B65" s="15">
        <v>132</v>
      </c>
      <c r="C65" s="15">
        <v>115</v>
      </c>
      <c r="D65" s="15">
        <v>105</v>
      </c>
      <c r="E65" s="69">
        <v>139</v>
      </c>
    </row>
    <row r="66" spans="1:6" ht="14.5" thickBot="1" x14ac:dyDescent="0.35">
      <c r="A66" s="34" t="s">
        <v>47</v>
      </c>
      <c r="B66" s="24">
        <v>65</v>
      </c>
      <c r="C66" s="24">
        <v>45</v>
      </c>
      <c r="D66" s="24">
        <v>73</v>
      </c>
      <c r="E66" s="70">
        <v>61</v>
      </c>
    </row>
    <row r="67" spans="1:6" x14ac:dyDescent="0.3">
      <c r="A67" s="104"/>
      <c r="B67" s="37"/>
      <c r="C67" s="37"/>
      <c r="D67" s="37"/>
      <c r="E67" s="37"/>
    </row>
    <row r="68" spans="1:6" x14ac:dyDescent="0.3">
      <c r="A68" s="104"/>
      <c r="B68" s="37"/>
      <c r="C68" s="37"/>
      <c r="D68" s="37"/>
      <c r="E68" s="37"/>
    </row>
    <row r="69" spans="1:6" x14ac:dyDescent="0.3">
      <c r="A69" s="104"/>
      <c r="B69" s="37"/>
      <c r="C69" s="37"/>
      <c r="D69" s="37"/>
      <c r="E69" s="37"/>
    </row>
    <row r="70" spans="1:6" x14ac:dyDescent="0.3">
      <c r="A70" s="104"/>
      <c r="B70" s="37"/>
      <c r="C70" s="37"/>
      <c r="D70" s="37"/>
      <c r="E70" s="37"/>
    </row>
    <row r="71" spans="1:6" x14ac:dyDescent="0.3">
      <c r="A71" s="104"/>
      <c r="B71" s="37"/>
      <c r="C71" s="37"/>
      <c r="D71" s="37"/>
      <c r="E71" s="37"/>
    </row>
    <row r="72" spans="1:6" x14ac:dyDescent="0.3">
      <c r="A72" s="104"/>
      <c r="B72" s="37"/>
      <c r="C72" s="37"/>
      <c r="D72" s="37"/>
      <c r="E72" s="37"/>
    </row>
    <row r="73" spans="1:6" ht="14.5" thickBot="1" x14ac:dyDescent="0.35">
      <c r="A73" s="104"/>
      <c r="B73" s="37"/>
      <c r="C73" s="37"/>
      <c r="D73" s="37"/>
      <c r="E73" s="37"/>
    </row>
    <row r="74" spans="1:6" s="1" customFormat="1" x14ac:dyDescent="0.3">
      <c r="A74" s="190" t="s">
        <v>48</v>
      </c>
      <c r="B74" s="73" t="s">
        <v>49</v>
      </c>
      <c r="C74" s="191" t="s">
        <v>50</v>
      </c>
    </row>
    <row r="75" spans="1:6" s="1" customFormat="1" x14ac:dyDescent="0.3">
      <c r="A75" s="10" t="s">
        <v>51</v>
      </c>
      <c r="B75" s="123">
        <v>27</v>
      </c>
      <c r="C75" s="171">
        <f>B75/733</f>
        <v>3.6834924965893585E-2</v>
      </c>
    </row>
    <row r="76" spans="1:6" s="1" customFormat="1" x14ac:dyDescent="0.3">
      <c r="A76" s="10" t="s">
        <v>52</v>
      </c>
      <c r="B76" s="123">
        <v>1</v>
      </c>
      <c r="C76" s="171">
        <f t="shared" ref="C76:C81" si="9">B76/733</f>
        <v>1.364256480218281E-3</v>
      </c>
    </row>
    <row r="77" spans="1:6" s="1" customFormat="1" x14ac:dyDescent="0.3">
      <c r="A77" s="10" t="s">
        <v>53</v>
      </c>
      <c r="B77" s="123">
        <v>0</v>
      </c>
      <c r="C77" s="171">
        <f t="shared" si="9"/>
        <v>0</v>
      </c>
    </row>
    <row r="78" spans="1:6" s="1" customFormat="1" x14ac:dyDescent="0.3">
      <c r="A78" s="10" t="s">
        <v>54</v>
      </c>
      <c r="B78" s="123">
        <v>523</v>
      </c>
      <c r="C78" s="171">
        <f t="shared" si="9"/>
        <v>0.71350613915416095</v>
      </c>
    </row>
    <row r="79" spans="1:6" s="1" customFormat="1" x14ac:dyDescent="0.3">
      <c r="A79" s="10" t="s">
        <v>55</v>
      </c>
      <c r="B79" s="123">
        <v>94</v>
      </c>
      <c r="C79" s="171">
        <f t="shared" si="9"/>
        <v>0.12824010914051842</v>
      </c>
      <c r="F79" s="84"/>
    </row>
    <row r="80" spans="1:6" s="1" customFormat="1" x14ac:dyDescent="0.3">
      <c r="A80" s="10" t="s">
        <v>56</v>
      </c>
      <c r="B80" s="123">
        <v>14</v>
      </c>
      <c r="C80" s="171">
        <f t="shared" si="9"/>
        <v>1.9099590723055934E-2</v>
      </c>
    </row>
    <row r="81" spans="1:4" s="1" customFormat="1" x14ac:dyDescent="0.3">
      <c r="A81" s="10" t="s">
        <v>57</v>
      </c>
      <c r="B81" s="123">
        <v>74</v>
      </c>
      <c r="C81" s="171">
        <f t="shared" si="9"/>
        <v>0.1009549795361528</v>
      </c>
    </row>
    <row r="82" spans="1:4" s="1" customFormat="1" ht="14.5" thickBot="1" x14ac:dyDescent="0.35">
      <c r="A82" s="192" t="s">
        <v>49</v>
      </c>
      <c r="B82" s="193">
        <f>SUM(B75:B81)</f>
        <v>733</v>
      </c>
      <c r="C82" s="194">
        <f>SUM(C75:C81)</f>
        <v>1</v>
      </c>
    </row>
    <row r="83" spans="1:4" s="1" customFormat="1" x14ac:dyDescent="0.3">
      <c r="A83" s="174"/>
      <c r="B83" s="174"/>
      <c r="C83" s="175"/>
      <c r="D83" s="174"/>
    </row>
    <row r="84" spans="1:4" s="1" customFormat="1" ht="14.5" thickBot="1" x14ac:dyDescent="0.35">
      <c r="A84" s="174"/>
      <c r="B84" s="174"/>
      <c r="C84" s="175"/>
      <c r="D84" s="174"/>
    </row>
    <row r="85" spans="1:4" s="1" customFormat="1" ht="14.25" customHeight="1" x14ac:dyDescent="0.3">
      <c r="A85" s="238" t="s">
        <v>58</v>
      </c>
      <c r="B85" s="239" t="s">
        <v>49</v>
      </c>
      <c r="C85" s="240" t="s">
        <v>50</v>
      </c>
      <c r="D85" s="80"/>
    </row>
    <row r="86" spans="1:4" s="1" customFormat="1" ht="14.25" customHeight="1" x14ac:dyDescent="0.3">
      <c r="A86" s="195" t="s">
        <v>59</v>
      </c>
      <c r="B86" s="124">
        <v>24</v>
      </c>
      <c r="C86" s="196">
        <f>B86/74</f>
        <v>0.32432432432432434</v>
      </c>
      <c r="D86" s="80"/>
    </row>
    <row r="87" spans="1:4" s="1" customFormat="1" ht="14.25" customHeight="1" x14ac:dyDescent="0.3">
      <c r="A87" s="195" t="s">
        <v>60</v>
      </c>
      <c r="B87" s="124">
        <v>14</v>
      </c>
      <c r="C87" s="196">
        <f t="shared" ref="C87:C90" si="10">B87/74</f>
        <v>0.1891891891891892</v>
      </c>
      <c r="D87" s="80"/>
    </row>
    <row r="88" spans="1:4" s="1" customFormat="1" ht="14.25" customHeight="1" x14ac:dyDescent="0.3">
      <c r="A88" s="195" t="s">
        <v>61</v>
      </c>
      <c r="B88" s="124">
        <v>3</v>
      </c>
      <c r="C88" s="196">
        <f t="shared" si="10"/>
        <v>4.0540540540540543E-2</v>
      </c>
      <c r="D88" s="80"/>
    </row>
    <row r="89" spans="1:4" s="1" customFormat="1" ht="14.25" customHeight="1" x14ac:dyDescent="0.3">
      <c r="A89" s="195" t="s">
        <v>62</v>
      </c>
      <c r="B89" s="124">
        <v>13</v>
      </c>
      <c r="C89" s="196">
        <f t="shared" si="10"/>
        <v>0.17567567567567569</v>
      </c>
      <c r="D89" s="80"/>
    </row>
    <row r="90" spans="1:4" s="1" customFormat="1" ht="14.25" customHeight="1" x14ac:dyDescent="0.3">
      <c r="A90" s="195" t="s">
        <v>63</v>
      </c>
      <c r="B90" s="124">
        <v>20</v>
      </c>
      <c r="C90" s="196">
        <f t="shared" si="10"/>
        <v>0.27027027027027029</v>
      </c>
      <c r="D90" s="80"/>
    </row>
    <row r="91" spans="1:4" s="1" customFormat="1" ht="14.5" thickBot="1" x14ac:dyDescent="0.35">
      <c r="A91" s="197" t="s">
        <v>49</v>
      </c>
      <c r="B91" s="198">
        <f>SUM(B86:B90)</f>
        <v>74</v>
      </c>
      <c r="C91" s="218">
        <f>SUM(C86:C90)</f>
        <v>1</v>
      </c>
      <c r="D91" s="17"/>
    </row>
    <row r="92" spans="1:4" s="1" customFormat="1" x14ac:dyDescent="0.3">
      <c r="A92" s="176"/>
      <c r="B92" s="177"/>
      <c r="C92" s="178"/>
      <c r="D92" s="170"/>
    </row>
    <row r="93" spans="1:4" s="1" customFormat="1" x14ac:dyDescent="0.3">
      <c r="A93" s="176"/>
      <c r="B93" s="177"/>
      <c r="C93" s="178"/>
      <c r="D93" s="170"/>
    </row>
    <row r="94" spans="1:4" s="1" customFormat="1" ht="14.5" thickBot="1" x14ac:dyDescent="0.35">
      <c r="A94" s="176"/>
      <c r="B94" s="177"/>
      <c r="C94" s="178"/>
      <c r="D94" s="170"/>
    </row>
    <row r="95" spans="1:4" s="1" customFormat="1" x14ac:dyDescent="0.3">
      <c r="A95" s="201" t="s">
        <v>64</v>
      </c>
      <c r="B95" s="202" t="s">
        <v>49</v>
      </c>
      <c r="C95" s="203" t="s">
        <v>50</v>
      </c>
      <c r="D95" s="2"/>
    </row>
    <row r="96" spans="1:4" s="1" customFormat="1" x14ac:dyDescent="0.3">
      <c r="A96" s="10" t="s">
        <v>51</v>
      </c>
      <c r="B96" s="125">
        <v>7</v>
      </c>
      <c r="C96" s="196">
        <v>0.04</v>
      </c>
      <c r="D96" s="2"/>
    </row>
    <row r="97" spans="1:4" s="1" customFormat="1" x14ac:dyDescent="0.3">
      <c r="A97" s="204" t="s">
        <v>52</v>
      </c>
      <c r="B97" s="126">
        <v>17</v>
      </c>
      <c r="C97" s="196">
        <f t="shared" ref="C97:C102" si="11">B97/203</f>
        <v>8.3743842364532015E-2</v>
      </c>
      <c r="D97" s="2"/>
    </row>
    <row r="98" spans="1:4" s="1" customFormat="1" x14ac:dyDescent="0.3">
      <c r="A98" s="204" t="s">
        <v>53</v>
      </c>
      <c r="B98" s="126">
        <v>2</v>
      </c>
      <c r="C98" s="196">
        <f t="shared" si="11"/>
        <v>9.852216748768473E-3</v>
      </c>
      <c r="D98" s="2"/>
    </row>
    <row r="99" spans="1:4" s="1" customFormat="1" x14ac:dyDescent="0.3">
      <c r="A99" s="204" t="s">
        <v>54</v>
      </c>
      <c r="B99" s="126">
        <v>97</v>
      </c>
      <c r="C99" s="196">
        <f t="shared" si="11"/>
        <v>0.47783251231527096</v>
      </c>
      <c r="D99" s="2"/>
    </row>
    <row r="100" spans="1:4" s="1" customFormat="1" x14ac:dyDescent="0.3">
      <c r="A100" s="204" t="s">
        <v>55</v>
      </c>
      <c r="B100" s="126">
        <v>33</v>
      </c>
      <c r="C100" s="196">
        <f t="shared" si="11"/>
        <v>0.1625615763546798</v>
      </c>
      <c r="D100" s="2"/>
    </row>
    <row r="101" spans="1:4" s="1" customFormat="1" x14ac:dyDescent="0.3">
      <c r="A101" s="204" t="s">
        <v>56</v>
      </c>
      <c r="B101" s="126">
        <v>14</v>
      </c>
      <c r="C101" s="196">
        <f t="shared" si="11"/>
        <v>6.8965517241379309E-2</v>
      </c>
      <c r="D101" s="2"/>
    </row>
    <row r="102" spans="1:4" s="1" customFormat="1" x14ac:dyDescent="0.3">
      <c r="A102" s="204" t="s">
        <v>57</v>
      </c>
      <c r="B102" s="126">
        <v>33</v>
      </c>
      <c r="C102" s="196">
        <f t="shared" si="11"/>
        <v>0.1625615763546798</v>
      </c>
      <c r="D102" s="2"/>
    </row>
    <row r="103" spans="1:4" s="1" customFormat="1" ht="14.5" thickBot="1" x14ac:dyDescent="0.35">
      <c r="A103" s="205" t="s">
        <v>49</v>
      </c>
      <c r="B103" s="206">
        <f>SUM(B96:B102)</f>
        <v>203</v>
      </c>
      <c r="C103" s="217">
        <f>SUM(C96:C102)</f>
        <v>1.0055172413793103</v>
      </c>
      <c r="D103" s="2"/>
    </row>
    <row r="104" spans="1:4" s="1" customFormat="1" x14ac:dyDescent="0.3">
      <c r="A104" s="179"/>
      <c r="B104" s="179"/>
      <c r="C104" s="180"/>
      <c r="D104" s="181"/>
    </row>
    <row r="105" spans="1:4" s="1" customFormat="1" ht="14.5" thickBot="1" x14ac:dyDescent="0.35">
      <c r="A105" s="179"/>
      <c r="B105" s="179"/>
      <c r="C105" s="180"/>
      <c r="D105" s="181"/>
    </row>
    <row r="106" spans="1:4" s="1" customFormat="1" x14ac:dyDescent="0.3">
      <c r="A106" s="235" t="s">
        <v>65</v>
      </c>
      <c r="B106" s="236" t="s">
        <v>49</v>
      </c>
      <c r="C106" s="237" t="s">
        <v>50</v>
      </c>
      <c r="D106" s="2"/>
    </row>
    <row r="107" spans="1:4" s="1" customFormat="1" x14ac:dyDescent="0.3">
      <c r="A107" s="210" t="s">
        <v>59</v>
      </c>
      <c r="B107" s="130">
        <v>6</v>
      </c>
      <c r="C107" s="196">
        <f>B107/33</f>
        <v>0.18181818181818182</v>
      </c>
      <c r="D107" s="2"/>
    </row>
    <row r="108" spans="1:4" s="1" customFormat="1" x14ac:dyDescent="0.3">
      <c r="A108" s="212" t="s">
        <v>60</v>
      </c>
      <c r="B108" s="133">
        <v>8</v>
      </c>
      <c r="C108" s="196">
        <f t="shared" ref="C108:C111" si="12">B108/33</f>
        <v>0.24242424242424243</v>
      </c>
      <c r="D108" s="2"/>
    </row>
    <row r="109" spans="1:4" s="1" customFormat="1" x14ac:dyDescent="0.3">
      <c r="A109" s="212" t="s">
        <v>61</v>
      </c>
      <c r="B109" s="133">
        <v>0</v>
      </c>
      <c r="C109" s="196">
        <f t="shared" si="12"/>
        <v>0</v>
      </c>
      <c r="D109" s="2"/>
    </row>
    <row r="110" spans="1:4" s="1" customFormat="1" x14ac:dyDescent="0.3">
      <c r="A110" s="212" t="s">
        <v>62</v>
      </c>
      <c r="B110" s="133">
        <v>8</v>
      </c>
      <c r="C110" s="196">
        <f t="shared" si="12"/>
        <v>0.24242424242424243</v>
      </c>
      <c r="D110" s="2"/>
    </row>
    <row r="111" spans="1:4" s="1" customFormat="1" x14ac:dyDescent="0.3">
      <c r="A111" s="212" t="s">
        <v>63</v>
      </c>
      <c r="B111" s="133">
        <v>11</v>
      </c>
      <c r="C111" s="196">
        <f t="shared" si="12"/>
        <v>0.33333333333333331</v>
      </c>
      <c r="D111" s="2"/>
    </row>
    <row r="112" spans="1:4" s="1" customFormat="1" ht="14.5" thickBot="1" x14ac:dyDescent="0.35">
      <c r="A112" s="214" t="s">
        <v>49</v>
      </c>
      <c r="B112" s="206">
        <f>SUM(B107:B111)</f>
        <v>33</v>
      </c>
      <c r="C112" s="215">
        <f>SUM(C107:C111)</f>
        <v>1</v>
      </c>
      <c r="D112" s="2"/>
    </row>
    <row r="113" spans="1:8" s="1" customFormat="1" x14ac:dyDescent="0.3">
      <c r="A113" s="182"/>
      <c r="B113" s="179"/>
      <c r="C113" s="183"/>
      <c r="D113" s="181"/>
    </row>
    <row r="114" spans="1:8" s="1" customFormat="1" x14ac:dyDescent="0.3">
      <c r="A114" s="248" t="s">
        <v>66</v>
      </c>
      <c r="B114" s="179"/>
      <c r="C114" s="183"/>
      <c r="D114" s="181"/>
    </row>
    <row r="115" spans="1:8" s="1" customFormat="1" x14ac:dyDescent="0.3">
      <c r="A115" s="182"/>
      <c r="B115" s="179"/>
      <c r="C115" s="183"/>
      <c r="D115" s="181"/>
    </row>
    <row r="116" spans="1:8" x14ac:dyDescent="0.3">
      <c r="A116" s="49" t="s">
        <v>67</v>
      </c>
      <c r="B116" s="73" t="s">
        <v>68</v>
      </c>
      <c r="C116" s="79" t="s">
        <v>49</v>
      </c>
      <c r="D116" s="74" t="s">
        <v>50</v>
      </c>
      <c r="E116" s="44"/>
      <c r="F116" s="163" t="s">
        <v>69</v>
      </c>
      <c r="G116" s="9" t="s">
        <v>114</v>
      </c>
      <c r="H116" s="58" t="s">
        <v>50</v>
      </c>
    </row>
    <row r="117" spans="1:8" x14ac:dyDescent="0.3">
      <c r="A117" s="25" t="s">
        <v>71</v>
      </c>
      <c r="B117" s="15" t="s">
        <v>72</v>
      </c>
      <c r="C117" s="15">
        <v>34</v>
      </c>
      <c r="D117" s="162">
        <f>C117/947</f>
        <v>3.5902851108764518E-2</v>
      </c>
      <c r="F117" s="25" t="s">
        <v>72</v>
      </c>
      <c r="G117" s="15">
        <v>103</v>
      </c>
      <c r="H117" s="162">
        <f t="shared" ref="H117:H122" si="13">G117/947</f>
        <v>0.10876451953537487</v>
      </c>
    </row>
    <row r="118" spans="1:8" x14ac:dyDescent="0.3">
      <c r="A118" s="25" t="s">
        <v>73</v>
      </c>
      <c r="B118" s="15" t="s">
        <v>72</v>
      </c>
      <c r="C118" s="15">
        <v>6</v>
      </c>
      <c r="D118" s="162">
        <f t="shared" ref="D118:D148" si="14">C118/947</f>
        <v>6.3357972544878568E-3</v>
      </c>
      <c r="F118" s="25" t="s">
        <v>74</v>
      </c>
      <c r="G118" s="15">
        <v>3</v>
      </c>
      <c r="H118" s="162">
        <f t="shared" si="13"/>
        <v>3.1678986272439284E-3</v>
      </c>
    </row>
    <row r="119" spans="1:8" x14ac:dyDescent="0.3">
      <c r="A119" s="25" t="s">
        <v>75</v>
      </c>
      <c r="B119" s="15" t="s">
        <v>72</v>
      </c>
      <c r="C119" s="15">
        <v>52</v>
      </c>
      <c r="D119" s="162">
        <f t="shared" si="14"/>
        <v>5.4910242872228086E-2</v>
      </c>
      <c r="F119" s="101" t="s">
        <v>76</v>
      </c>
      <c r="G119" s="15">
        <v>167</v>
      </c>
      <c r="H119" s="162">
        <f t="shared" si="13"/>
        <v>0.17634635691657866</v>
      </c>
    </row>
    <row r="120" spans="1:8" x14ac:dyDescent="0.3">
      <c r="A120" s="25" t="s">
        <v>77</v>
      </c>
      <c r="B120" s="15" t="s">
        <v>72</v>
      </c>
      <c r="C120" s="15">
        <v>11</v>
      </c>
      <c r="D120" s="162">
        <f t="shared" si="14"/>
        <v>1.1615628299894404E-2</v>
      </c>
      <c r="F120" s="25" t="s">
        <v>78</v>
      </c>
      <c r="G120" s="15">
        <v>81</v>
      </c>
      <c r="H120" s="162">
        <f t="shared" si="13"/>
        <v>8.5533262935586066E-2</v>
      </c>
    </row>
    <row r="121" spans="1:8" x14ac:dyDescent="0.3">
      <c r="A121" s="25" t="s">
        <v>74</v>
      </c>
      <c r="B121" s="15" t="s">
        <v>74</v>
      </c>
      <c r="C121" s="15">
        <v>3</v>
      </c>
      <c r="D121" s="162">
        <f t="shared" si="14"/>
        <v>3.1678986272439284E-3</v>
      </c>
      <c r="F121" s="25" t="s">
        <v>79</v>
      </c>
      <c r="G121" s="15">
        <v>125</v>
      </c>
      <c r="H121" s="162">
        <f t="shared" si="13"/>
        <v>0.13199577613516367</v>
      </c>
    </row>
    <row r="122" spans="1:8" ht="14.5" thickBot="1" x14ac:dyDescent="0.35">
      <c r="A122" s="25" t="s">
        <v>115</v>
      </c>
      <c r="B122" s="15" t="s">
        <v>76</v>
      </c>
      <c r="C122" s="15">
        <v>10</v>
      </c>
      <c r="D122" s="162">
        <f t="shared" si="14"/>
        <v>1.0559662090813094E-2</v>
      </c>
      <c r="F122" s="34" t="s">
        <v>81</v>
      </c>
      <c r="G122" s="24">
        <v>468</v>
      </c>
      <c r="H122" s="184">
        <f t="shared" si="13"/>
        <v>0.49419218585005281</v>
      </c>
    </row>
    <row r="123" spans="1:8" x14ac:dyDescent="0.3">
      <c r="A123" s="25" t="s">
        <v>82</v>
      </c>
      <c r="B123" s="15" t="s">
        <v>76</v>
      </c>
      <c r="C123" s="15">
        <v>2</v>
      </c>
      <c r="D123" s="162">
        <f t="shared" si="14"/>
        <v>2.1119324181626186E-3</v>
      </c>
    </row>
    <row r="124" spans="1:8" x14ac:dyDescent="0.3">
      <c r="A124" s="25" t="s">
        <v>83</v>
      </c>
      <c r="B124" s="15" t="s">
        <v>76</v>
      </c>
      <c r="C124" s="15">
        <v>4</v>
      </c>
      <c r="D124" s="162">
        <f t="shared" si="14"/>
        <v>4.2238648363252373E-3</v>
      </c>
    </row>
    <row r="125" spans="1:8" x14ac:dyDescent="0.3">
      <c r="A125" s="25" t="s">
        <v>84</v>
      </c>
      <c r="B125" s="15" t="s">
        <v>76</v>
      </c>
      <c r="C125" s="15">
        <v>1</v>
      </c>
      <c r="D125" s="162">
        <f t="shared" si="14"/>
        <v>1.0559662090813093E-3</v>
      </c>
    </row>
    <row r="126" spans="1:8" x14ac:dyDescent="0.3">
      <c r="A126" s="25" t="s">
        <v>85</v>
      </c>
      <c r="B126" s="15" t="s">
        <v>76</v>
      </c>
      <c r="C126" s="15">
        <v>5</v>
      </c>
      <c r="D126" s="162">
        <f t="shared" si="14"/>
        <v>5.279831045406547E-3</v>
      </c>
    </row>
    <row r="127" spans="1:8" x14ac:dyDescent="0.3">
      <c r="A127" s="25" t="s">
        <v>86</v>
      </c>
      <c r="B127" s="15" t="s">
        <v>76</v>
      </c>
      <c r="C127" s="15">
        <v>4</v>
      </c>
      <c r="D127" s="162">
        <f t="shared" si="14"/>
        <v>4.2238648363252373E-3</v>
      </c>
    </row>
    <row r="128" spans="1:8" x14ac:dyDescent="0.3">
      <c r="A128" s="25" t="s">
        <v>87</v>
      </c>
      <c r="B128" s="15" t="s">
        <v>76</v>
      </c>
      <c r="C128" s="15">
        <v>14</v>
      </c>
      <c r="D128" s="162">
        <f t="shared" si="14"/>
        <v>1.4783526927138331E-2</v>
      </c>
    </row>
    <row r="129" spans="1:6" x14ac:dyDescent="0.3">
      <c r="A129" s="25" t="s">
        <v>88</v>
      </c>
      <c r="B129" s="15" t="s">
        <v>76</v>
      </c>
      <c r="C129" s="15">
        <v>1</v>
      </c>
      <c r="D129" s="162">
        <f t="shared" si="14"/>
        <v>1.0559662090813093E-3</v>
      </c>
    </row>
    <row r="130" spans="1:6" x14ac:dyDescent="0.3">
      <c r="A130" s="25" t="s">
        <v>89</v>
      </c>
      <c r="B130" s="15" t="s">
        <v>76</v>
      </c>
      <c r="C130" s="15">
        <v>2</v>
      </c>
      <c r="D130" s="162">
        <f t="shared" si="14"/>
        <v>2.1119324181626186E-3</v>
      </c>
    </row>
    <row r="131" spans="1:6" x14ac:dyDescent="0.3">
      <c r="A131" s="25" t="s">
        <v>90</v>
      </c>
      <c r="B131" s="15" t="s">
        <v>76</v>
      </c>
      <c r="C131" s="15">
        <v>69</v>
      </c>
      <c r="D131" s="162">
        <f t="shared" si="14"/>
        <v>7.2861668426610349E-2</v>
      </c>
    </row>
    <row r="132" spans="1:6" x14ac:dyDescent="0.3">
      <c r="A132" s="25" t="s">
        <v>91</v>
      </c>
      <c r="B132" s="15" t="s">
        <v>76</v>
      </c>
      <c r="C132" s="15">
        <v>5</v>
      </c>
      <c r="D132" s="162">
        <f t="shared" si="14"/>
        <v>5.279831045406547E-3</v>
      </c>
    </row>
    <row r="133" spans="1:6" x14ac:dyDescent="0.3">
      <c r="A133" s="25" t="s">
        <v>92</v>
      </c>
      <c r="B133" s="15" t="s">
        <v>76</v>
      </c>
      <c r="C133" s="15">
        <v>45</v>
      </c>
      <c r="D133" s="162">
        <f t="shared" si="14"/>
        <v>4.7518479408658922E-2</v>
      </c>
    </row>
    <row r="134" spans="1:6" x14ac:dyDescent="0.3">
      <c r="A134" s="25" t="s">
        <v>93</v>
      </c>
      <c r="B134" s="15" t="s">
        <v>76</v>
      </c>
      <c r="C134" s="15">
        <v>5</v>
      </c>
      <c r="D134" s="162">
        <f t="shared" si="14"/>
        <v>5.279831045406547E-3</v>
      </c>
    </row>
    <row r="135" spans="1:6" x14ac:dyDescent="0.3">
      <c r="A135" s="25" t="s">
        <v>94</v>
      </c>
      <c r="B135" s="15" t="s">
        <v>78</v>
      </c>
      <c r="C135" s="15">
        <v>3</v>
      </c>
      <c r="D135" s="162">
        <f t="shared" si="14"/>
        <v>3.1678986272439284E-3</v>
      </c>
    </row>
    <row r="136" spans="1:6" x14ac:dyDescent="0.3">
      <c r="A136" s="25" t="s">
        <v>95</v>
      </c>
      <c r="B136" s="15" t="s">
        <v>78</v>
      </c>
      <c r="C136" s="15">
        <v>36</v>
      </c>
      <c r="D136" s="162">
        <f t="shared" si="14"/>
        <v>3.8014783526927137E-2</v>
      </c>
      <c r="F136" s="13" t="s">
        <v>145</v>
      </c>
    </row>
    <row r="137" spans="1:6" x14ac:dyDescent="0.3">
      <c r="A137" s="25" t="s">
        <v>96</v>
      </c>
      <c r="B137" s="15" t="s">
        <v>78</v>
      </c>
      <c r="C137" s="15">
        <v>42</v>
      </c>
      <c r="D137" s="162">
        <f t="shared" si="14"/>
        <v>4.4350580781414996E-2</v>
      </c>
    </row>
    <row r="138" spans="1:6" x14ac:dyDescent="0.3">
      <c r="A138" s="25" t="s">
        <v>97</v>
      </c>
      <c r="B138" s="15" t="s">
        <v>79</v>
      </c>
      <c r="C138" s="15">
        <v>21</v>
      </c>
      <c r="D138" s="162">
        <f t="shared" si="14"/>
        <v>2.2175290390707498E-2</v>
      </c>
    </row>
    <row r="139" spans="1:6" x14ac:dyDescent="0.3">
      <c r="A139" s="25" t="s">
        <v>98</v>
      </c>
      <c r="B139" s="15" t="s">
        <v>79</v>
      </c>
      <c r="C139" s="15">
        <v>1</v>
      </c>
      <c r="D139" s="162">
        <f t="shared" si="14"/>
        <v>1.0559662090813093E-3</v>
      </c>
    </row>
    <row r="140" spans="1:6" x14ac:dyDescent="0.3">
      <c r="A140" s="25" t="s">
        <v>99</v>
      </c>
      <c r="B140" s="15" t="s">
        <v>79</v>
      </c>
      <c r="C140" s="15">
        <v>5</v>
      </c>
      <c r="D140" s="162">
        <f t="shared" si="14"/>
        <v>5.279831045406547E-3</v>
      </c>
    </row>
    <row r="141" spans="1:6" x14ac:dyDescent="0.3">
      <c r="A141" s="25" t="s">
        <v>100</v>
      </c>
      <c r="B141" s="15" t="s">
        <v>79</v>
      </c>
      <c r="C141" s="15">
        <v>69</v>
      </c>
      <c r="D141" s="162">
        <f t="shared" si="14"/>
        <v>7.2861668426610349E-2</v>
      </c>
    </row>
    <row r="142" spans="1:6" x14ac:dyDescent="0.3">
      <c r="A142" s="25" t="s">
        <v>101</v>
      </c>
      <c r="B142" s="15" t="s">
        <v>79</v>
      </c>
      <c r="C142" s="15">
        <v>15</v>
      </c>
      <c r="D142" s="162">
        <f t="shared" si="14"/>
        <v>1.5839493136219639E-2</v>
      </c>
    </row>
    <row r="143" spans="1:6" x14ac:dyDescent="0.3">
      <c r="A143" s="25" t="s">
        <v>102</v>
      </c>
      <c r="B143" s="15" t="s">
        <v>79</v>
      </c>
      <c r="C143" s="15">
        <v>12</v>
      </c>
      <c r="D143" s="162">
        <f t="shared" si="14"/>
        <v>1.2671594508975714E-2</v>
      </c>
    </row>
    <row r="144" spans="1:6" x14ac:dyDescent="0.3">
      <c r="A144" s="25" t="s">
        <v>103</v>
      </c>
      <c r="B144" s="15" t="s">
        <v>79</v>
      </c>
      <c r="C144" s="15">
        <v>2</v>
      </c>
      <c r="D144" s="162">
        <f t="shared" si="14"/>
        <v>2.1119324181626186E-3</v>
      </c>
    </row>
    <row r="145" spans="1:8" x14ac:dyDescent="0.3">
      <c r="A145" s="25" t="s">
        <v>138</v>
      </c>
      <c r="B145" s="15" t="s">
        <v>81</v>
      </c>
      <c r="C145" s="15">
        <v>36</v>
      </c>
      <c r="D145" s="162">
        <f t="shared" si="14"/>
        <v>3.8014783526927137E-2</v>
      </c>
    </row>
    <row r="146" spans="1:8" x14ac:dyDescent="0.3">
      <c r="A146" s="25" t="s">
        <v>106</v>
      </c>
      <c r="B146" s="15" t="s">
        <v>81</v>
      </c>
      <c r="C146" s="15">
        <v>11</v>
      </c>
      <c r="D146" s="162">
        <f t="shared" si="14"/>
        <v>1.1615628299894404E-2</v>
      </c>
    </row>
    <row r="147" spans="1:8" x14ac:dyDescent="0.3">
      <c r="A147" s="25" t="s">
        <v>107</v>
      </c>
      <c r="B147" s="15" t="s">
        <v>81</v>
      </c>
      <c r="C147" s="15">
        <v>407</v>
      </c>
      <c r="D147" s="162">
        <f t="shared" si="14"/>
        <v>0.42977824709609291</v>
      </c>
    </row>
    <row r="148" spans="1:8" x14ac:dyDescent="0.3">
      <c r="A148" s="25" t="s">
        <v>108</v>
      </c>
      <c r="B148" s="15" t="s">
        <v>81</v>
      </c>
      <c r="C148" s="15">
        <v>14</v>
      </c>
      <c r="D148" s="162">
        <f t="shared" si="14"/>
        <v>1.4783526927138331E-2</v>
      </c>
    </row>
    <row r="149" spans="1:8" ht="14.5" thickBot="1" x14ac:dyDescent="0.35">
      <c r="A149" s="39" t="s">
        <v>109</v>
      </c>
      <c r="B149" s="24" t="s">
        <v>110</v>
      </c>
      <c r="C149" s="24">
        <v>53</v>
      </c>
      <c r="D149" s="169" t="s">
        <v>111</v>
      </c>
    </row>
    <row r="150" spans="1:8" x14ac:dyDescent="0.3">
      <c r="A150" s="104"/>
      <c r="C150" s="17"/>
    </row>
    <row r="151" spans="1:8" x14ac:dyDescent="0.3">
      <c r="A151" s="104"/>
      <c r="C151" s="17"/>
    </row>
    <row r="152" spans="1:8" ht="14.5" thickBot="1" x14ac:dyDescent="0.35">
      <c r="A152" s="104"/>
      <c r="C152" s="18"/>
      <c r="D152" s="14"/>
    </row>
    <row r="153" spans="1:8" x14ac:dyDescent="0.3">
      <c r="A153" s="8" t="s">
        <v>112</v>
      </c>
      <c r="B153" s="73" t="s">
        <v>68</v>
      </c>
      <c r="C153" s="50" t="s">
        <v>49</v>
      </c>
      <c r="D153" s="74" t="s">
        <v>50</v>
      </c>
      <c r="E153" s="44"/>
      <c r="F153" s="163" t="s">
        <v>113</v>
      </c>
      <c r="G153" s="9" t="s">
        <v>114</v>
      </c>
      <c r="H153" s="58" t="s">
        <v>50</v>
      </c>
    </row>
    <row r="154" spans="1:8" x14ac:dyDescent="0.3">
      <c r="A154" s="25" t="s">
        <v>71</v>
      </c>
      <c r="B154" s="15" t="s">
        <v>72</v>
      </c>
      <c r="C154" s="15">
        <v>56</v>
      </c>
      <c r="D154" s="162">
        <f>C154/552</f>
        <v>0.10144927536231885</v>
      </c>
      <c r="E154" s="45"/>
      <c r="F154" s="25" t="s">
        <v>72</v>
      </c>
      <c r="G154" s="15">
        <v>134</v>
      </c>
      <c r="H154" s="162">
        <f t="shared" ref="H154:H159" si="15">G154/552</f>
        <v>0.24275362318840579</v>
      </c>
    </row>
    <row r="155" spans="1:8" x14ac:dyDescent="0.3">
      <c r="A155" s="25" t="s">
        <v>73</v>
      </c>
      <c r="B155" s="15" t="s">
        <v>72</v>
      </c>
      <c r="C155" s="15">
        <v>2</v>
      </c>
      <c r="D155" s="162">
        <f t="shared" ref="D155:D182" si="16">C155/552</f>
        <v>3.6231884057971015E-3</v>
      </c>
      <c r="E155" s="45"/>
      <c r="F155" s="25" t="s">
        <v>74</v>
      </c>
      <c r="G155" s="15">
        <v>2</v>
      </c>
      <c r="H155" s="162">
        <f t="shared" si="15"/>
        <v>3.6231884057971015E-3</v>
      </c>
    </row>
    <row r="156" spans="1:8" x14ac:dyDescent="0.3">
      <c r="A156" s="25" t="s">
        <v>75</v>
      </c>
      <c r="B156" s="15" t="s">
        <v>72</v>
      </c>
      <c r="C156" s="15">
        <v>69</v>
      </c>
      <c r="D156" s="162">
        <f t="shared" si="16"/>
        <v>0.125</v>
      </c>
      <c r="E156" s="45"/>
      <c r="F156" s="101" t="s">
        <v>76</v>
      </c>
      <c r="G156" s="15">
        <v>108</v>
      </c>
      <c r="H156" s="162">
        <f t="shared" si="15"/>
        <v>0.19565217391304349</v>
      </c>
    </row>
    <row r="157" spans="1:8" x14ac:dyDescent="0.3">
      <c r="A157" s="25" t="s">
        <v>77</v>
      </c>
      <c r="B157" s="15" t="s">
        <v>72</v>
      </c>
      <c r="C157" s="15">
        <v>7</v>
      </c>
      <c r="D157" s="162">
        <f t="shared" si="16"/>
        <v>1.2681159420289856E-2</v>
      </c>
      <c r="E157" s="45"/>
      <c r="F157" s="25" t="s">
        <v>78</v>
      </c>
      <c r="G157" s="15">
        <v>22</v>
      </c>
      <c r="H157" s="162">
        <f t="shared" si="15"/>
        <v>3.9855072463768113E-2</v>
      </c>
    </row>
    <row r="158" spans="1:8" x14ac:dyDescent="0.3">
      <c r="A158" s="25" t="s">
        <v>74</v>
      </c>
      <c r="B158" s="15" t="s">
        <v>74</v>
      </c>
      <c r="C158" s="15">
        <v>2</v>
      </c>
      <c r="D158" s="162">
        <f t="shared" si="16"/>
        <v>3.6231884057971015E-3</v>
      </c>
      <c r="E158" s="45"/>
      <c r="F158" s="25" t="s">
        <v>79</v>
      </c>
      <c r="G158" s="15">
        <v>43</v>
      </c>
      <c r="H158" s="162">
        <f t="shared" si="15"/>
        <v>7.789855072463768E-2</v>
      </c>
    </row>
    <row r="159" spans="1:8" ht="14.5" thickBot="1" x14ac:dyDescent="0.35">
      <c r="A159" s="25" t="s">
        <v>115</v>
      </c>
      <c r="B159" s="15" t="s">
        <v>76</v>
      </c>
      <c r="C159" s="15">
        <v>12</v>
      </c>
      <c r="D159" s="162">
        <f t="shared" si="16"/>
        <v>2.1739130434782608E-2</v>
      </c>
      <c r="E159" s="45"/>
      <c r="F159" s="34" t="s">
        <v>81</v>
      </c>
      <c r="G159" s="24">
        <v>243</v>
      </c>
      <c r="H159" s="184">
        <f t="shared" si="15"/>
        <v>0.44021739130434784</v>
      </c>
    </row>
    <row r="160" spans="1:8" x14ac:dyDescent="0.3">
      <c r="A160" s="25" t="s">
        <v>85</v>
      </c>
      <c r="B160" s="15" t="s">
        <v>76</v>
      </c>
      <c r="C160" s="15">
        <v>16</v>
      </c>
      <c r="D160" s="162">
        <f t="shared" si="16"/>
        <v>2.8985507246376812E-2</v>
      </c>
    </row>
    <row r="161" spans="1:4" x14ac:dyDescent="0.3">
      <c r="A161" s="25" t="s">
        <v>86</v>
      </c>
      <c r="B161" s="15" t="s">
        <v>76</v>
      </c>
      <c r="C161" s="15">
        <v>11</v>
      </c>
      <c r="D161" s="162">
        <f t="shared" si="16"/>
        <v>1.9927536231884056E-2</v>
      </c>
    </row>
    <row r="162" spans="1:4" x14ac:dyDescent="0.3">
      <c r="A162" s="25" t="s">
        <v>116</v>
      </c>
      <c r="B162" s="15" t="s">
        <v>76</v>
      </c>
      <c r="C162" s="15">
        <v>2</v>
      </c>
      <c r="D162" s="162">
        <f t="shared" si="16"/>
        <v>3.6231884057971015E-3</v>
      </c>
    </row>
    <row r="163" spans="1:4" x14ac:dyDescent="0.3">
      <c r="A163" s="25" t="s">
        <v>87</v>
      </c>
      <c r="B163" s="15" t="s">
        <v>76</v>
      </c>
      <c r="C163" s="15">
        <v>7</v>
      </c>
      <c r="D163" s="162">
        <f t="shared" si="16"/>
        <v>1.2681159420289856E-2</v>
      </c>
    </row>
    <row r="164" spans="1:4" x14ac:dyDescent="0.3">
      <c r="A164" s="25" t="s">
        <v>88</v>
      </c>
      <c r="B164" s="15" t="s">
        <v>76</v>
      </c>
      <c r="C164" s="15">
        <v>1</v>
      </c>
      <c r="D164" s="162">
        <f t="shared" si="16"/>
        <v>1.8115942028985507E-3</v>
      </c>
    </row>
    <row r="165" spans="1:4" x14ac:dyDescent="0.3">
      <c r="A165" s="25" t="s">
        <v>117</v>
      </c>
      <c r="B165" s="15" t="s">
        <v>76</v>
      </c>
      <c r="C165" s="15">
        <v>1</v>
      </c>
      <c r="D165" s="162">
        <f t="shared" si="16"/>
        <v>1.8115942028985507E-3</v>
      </c>
    </row>
    <row r="166" spans="1:4" x14ac:dyDescent="0.3">
      <c r="A166" s="25" t="s">
        <v>90</v>
      </c>
      <c r="B166" s="15" t="s">
        <v>76</v>
      </c>
      <c r="C166" s="15">
        <v>26</v>
      </c>
      <c r="D166" s="162">
        <f t="shared" si="16"/>
        <v>4.710144927536232E-2</v>
      </c>
    </row>
    <row r="167" spans="1:4" x14ac:dyDescent="0.3">
      <c r="A167" s="25" t="s">
        <v>91</v>
      </c>
      <c r="B167" s="15" t="s">
        <v>76</v>
      </c>
      <c r="C167" s="15">
        <v>5</v>
      </c>
      <c r="D167" s="162">
        <f t="shared" si="16"/>
        <v>9.057971014492754E-3</v>
      </c>
    </row>
    <row r="168" spans="1:4" x14ac:dyDescent="0.3">
      <c r="A168" s="25" t="s">
        <v>92</v>
      </c>
      <c r="B168" s="15" t="s">
        <v>76</v>
      </c>
      <c r="C168" s="15">
        <v>11</v>
      </c>
      <c r="D168" s="162">
        <f t="shared" si="16"/>
        <v>1.9927536231884056E-2</v>
      </c>
    </row>
    <row r="169" spans="1:4" x14ac:dyDescent="0.3">
      <c r="A169" s="25" t="s">
        <v>93</v>
      </c>
      <c r="B169" s="15" t="s">
        <v>76</v>
      </c>
      <c r="C169" s="15">
        <v>16</v>
      </c>
      <c r="D169" s="162">
        <f t="shared" si="16"/>
        <v>2.8985507246376812E-2</v>
      </c>
    </row>
    <row r="170" spans="1:4" x14ac:dyDescent="0.3">
      <c r="A170" s="25" t="s">
        <v>95</v>
      </c>
      <c r="B170" s="15" t="s">
        <v>78</v>
      </c>
      <c r="C170" s="15">
        <v>7</v>
      </c>
      <c r="D170" s="162">
        <f t="shared" si="16"/>
        <v>1.2681159420289856E-2</v>
      </c>
    </row>
    <row r="171" spans="1:4" x14ac:dyDescent="0.3">
      <c r="A171" s="25" t="s">
        <v>96</v>
      </c>
      <c r="B171" s="15" t="s">
        <v>78</v>
      </c>
      <c r="C171" s="15">
        <v>15</v>
      </c>
      <c r="D171" s="162">
        <f t="shared" si="16"/>
        <v>2.717391304347826E-2</v>
      </c>
    </row>
    <row r="172" spans="1:4" x14ac:dyDescent="0.3">
      <c r="A172" s="25" t="s">
        <v>118</v>
      </c>
      <c r="B172" s="15" t="s">
        <v>79</v>
      </c>
      <c r="C172" s="15">
        <v>2</v>
      </c>
      <c r="D172" s="162">
        <f t="shared" si="16"/>
        <v>3.6231884057971015E-3</v>
      </c>
    </row>
    <row r="173" spans="1:4" x14ac:dyDescent="0.3">
      <c r="A173" s="25" t="s">
        <v>98</v>
      </c>
      <c r="B173" s="15" t="s">
        <v>79</v>
      </c>
      <c r="C173" s="15">
        <v>1</v>
      </c>
      <c r="D173" s="162">
        <f t="shared" si="16"/>
        <v>1.8115942028985507E-3</v>
      </c>
    </row>
    <row r="174" spans="1:4" x14ac:dyDescent="0.3">
      <c r="A174" s="25" t="s">
        <v>99</v>
      </c>
      <c r="B174" s="15" t="s">
        <v>79</v>
      </c>
      <c r="C174" s="15">
        <v>6</v>
      </c>
      <c r="D174" s="162">
        <f t="shared" si="16"/>
        <v>1.0869565217391304E-2</v>
      </c>
    </row>
    <row r="175" spans="1:4" x14ac:dyDescent="0.3">
      <c r="A175" s="25" t="s">
        <v>100</v>
      </c>
      <c r="B175" s="15" t="s">
        <v>79</v>
      </c>
      <c r="C175" s="15">
        <v>15</v>
      </c>
      <c r="D175" s="162">
        <f t="shared" si="16"/>
        <v>2.717391304347826E-2</v>
      </c>
    </row>
    <row r="176" spans="1:4" x14ac:dyDescent="0.3">
      <c r="A176" s="25" t="s">
        <v>101</v>
      </c>
      <c r="B176" s="15" t="s">
        <v>79</v>
      </c>
      <c r="C176" s="15">
        <v>5</v>
      </c>
      <c r="D176" s="162">
        <f t="shared" si="16"/>
        <v>9.057971014492754E-3</v>
      </c>
    </row>
    <row r="177" spans="1:8" x14ac:dyDescent="0.3">
      <c r="A177" s="25" t="s">
        <v>102</v>
      </c>
      <c r="B177" s="15" t="s">
        <v>79</v>
      </c>
      <c r="C177" s="15">
        <v>12</v>
      </c>
      <c r="D177" s="162">
        <f t="shared" si="16"/>
        <v>2.1739130434782608E-2</v>
      </c>
    </row>
    <row r="178" spans="1:8" x14ac:dyDescent="0.3">
      <c r="A178" s="25" t="s">
        <v>103</v>
      </c>
      <c r="B178" s="15" t="s">
        <v>79</v>
      </c>
      <c r="C178" s="15">
        <v>2</v>
      </c>
      <c r="D178" s="162">
        <f t="shared" si="16"/>
        <v>3.6231884057971015E-3</v>
      </c>
    </row>
    <row r="179" spans="1:8" x14ac:dyDescent="0.3">
      <c r="A179" s="25" t="s">
        <v>138</v>
      </c>
      <c r="B179" s="15" t="s">
        <v>81</v>
      </c>
      <c r="C179" s="15">
        <v>27</v>
      </c>
      <c r="D179" s="162">
        <f t="shared" si="16"/>
        <v>4.8913043478260872E-2</v>
      </c>
    </row>
    <row r="180" spans="1:8" x14ac:dyDescent="0.3">
      <c r="A180" s="25" t="s">
        <v>106</v>
      </c>
      <c r="B180" s="15" t="s">
        <v>81</v>
      </c>
      <c r="C180" s="15">
        <v>25</v>
      </c>
      <c r="D180" s="162">
        <f t="shared" si="16"/>
        <v>4.5289855072463768E-2</v>
      </c>
    </row>
    <row r="181" spans="1:8" x14ac:dyDescent="0.3">
      <c r="A181" s="25" t="s">
        <v>107</v>
      </c>
      <c r="B181" s="15" t="s">
        <v>81</v>
      </c>
      <c r="C181" s="15">
        <v>169</v>
      </c>
      <c r="D181" s="162">
        <f t="shared" si="16"/>
        <v>0.3061594202898551</v>
      </c>
    </row>
    <row r="182" spans="1:8" x14ac:dyDescent="0.3">
      <c r="A182" s="25" t="s">
        <v>108</v>
      </c>
      <c r="B182" s="15" t="s">
        <v>81</v>
      </c>
      <c r="C182" s="15">
        <v>22</v>
      </c>
      <c r="D182" s="162">
        <f t="shared" si="16"/>
        <v>3.9855072463768113E-2</v>
      </c>
    </row>
    <row r="183" spans="1:8" ht="14.5" thickBot="1" x14ac:dyDescent="0.35">
      <c r="A183" s="34" t="s">
        <v>109</v>
      </c>
      <c r="B183" s="24" t="s">
        <v>125</v>
      </c>
      <c r="C183" s="24">
        <v>24</v>
      </c>
      <c r="D183" s="220" t="s">
        <v>111</v>
      </c>
    </row>
    <row r="184" spans="1:8" x14ac:dyDescent="0.3">
      <c r="A184" s="37"/>
      <c r="B184" s="37"/>
      <c r="C184" s="37"/>
      <c r="D184" s="221"/>
    </row>
    <row r="185" spans="1:8" x14ac:dyDescent="0.3">
      <c r="A185" s="37"/>
      <c r="B185" s="37"/>
      <c r="C185" s="37"/>
      <c r="D185" s="221"/>
    </row>
    <row r="186" spans="1:8" x14ac:dyDescent="0.3">
      <c r="A186" s="37"/>
      <c r="B186" s="37"/>
      <c r="C186" s="37"/>
      <c r="D186" s="221"/>
    </row>
    <row r="187" spans="1:8" ht="14.5" thickBot="1" x14ac:dyDescent="0.35">
      <c r="C187" s="17"/>
    </row>
    <row r="188" spans="1:8" x14ac:dyDescent="0.3">
      <c r="A188" s="8" t="s">
        <v>119</v>
      </c>
      <c r="B188" s="9" t="s">
        <v>146</v>
      </c>
      <c r="C188" s="9" t="s">
        <v>49</v>
      </c>
      <c r="D188" s="58" t="s">
        <v>50</v>
      </c>
      <c r="E188" s="44"/>
      <c r="F188" s="163" t="s">
        <v>120</v>
      </c>
      <c r="G188" s="9" t="s">
        <v>114</v>
      </c>
      <c r="H188" s="58" t="s">
        <v>50</v>
      </c>
    </row>
    <row r="189" spans="1:8" x14ac:dyDescent="0.3">
      <c r="A189" s="25" t="s">
        <v>71</v>
      </c>
      <c r="B189" s="15" t="s">
        <v>72</v>
      </c>
      <c r="C189" s="15">
        <v>761</v>
      </c>
      <c r="D189" s="162">
        <f>C189/1453</f>
        <v>0.52374397797660011</v>
      </c>
      <c r="E189" s="45"/>
      <c r="F189" s="25" t="s">
        <v>72</v>
      </c>
      <c r="G189" s="15">
        <v>916</v>
      </c>
      <c r="H189" s="162">
        <f t="shared" ref="H189:H194" si="17">G189/1453</f>
        <v>0.63041982105987615</v>
      </c>
    </row>
    <row r="190" spans="1:8" x14ac:dyDescent="0.3">
      <c r="A190" s="25" t="s">
        <v>73</v>
      </c>
      <c r="B190" s="15" t="s">
        <v>72</v>
      </c>
      <c r="C190" s="15">
        <v>42</v>
      </c>
      <c r="D190" s="162">
        <f t="shared" ref="D190:D222" si="18">C190/1453</f>
        <v>2.8905712319339298E-2</v>
      </c>
      <c r="E190" s="45"/>
      <c r="F190" s="25" t="s">
        <v>74</v>
      </c>
      <c r="G190" s="15">
        <v>7</v>
      </c>
      <c r="H190" s="162">
        <f t="shared" si="17"/>
        <v>4.817618719889883E-3</v>
      </c>
    </row>
    <row r="191" spans="1:8" x14ac:dyDescent="0.3">
      <c r="A191" s="25" t="s">
        <v>75</v>
      </c>
      <c r="B191" s="15" t="s">
        <v>72</v>
      </c>
      <c r="C191" s="15">
        <v>97</v>
      </c>
      <c r="D191" s="162">
        <f t="shared" si="18"/>
        <v>6.6758430832759813E-2</v>
      </c>
      <c r="E191" s="45"/>
      <c r="F191" s="101" t="s">
        <v>76</v>
      </c>
      <c r="G191" s="15">
        <v>54</v>
      </c>
      <c r="H191" s="162">
        <f t="shared" si="17"/>
        <v>3.7164487267721952E-2</v>
      </c>
    </row>
    <row r="192" spans="1:8" x14ac:dyDescent="0.3">
      <c r="A192" s="25" t="s">
        <v>77</v>
      </c>
      <c r="B192" s="15" t="s">
        <v>72</v>
      </c>
      <c r="C192" s="15">
        <v>16</v>
      </c>
      <c r="D192" s="162">
        <f t="shared" si="18"/>
        <v>1.1011699931176875E-2</v>
      </c>
      <c r="E192" s="45"/>
      <c r="F192" s="25" t="s">
        <v>78</v>
      </c>
      <c r="G192" s="15">
        <v>16</v>
      </c>
      <c r="H192" s="162">
        <f t="shared" si="17"/>
        <v>1.1011699931176875E-2</v>
      </c>
    </row>
    <row r="193" spans="1:8" x14ac:dyDescent="0.3">
      <c r="A193" s="25" t="s">
        <v>74</v>
      </c>
      <c r="B193" s="15" t="s">
        <v>74</v>
      </c>
      <c r="C193" s="15">
        <v>7</v>
      </c>
      <c r="D193" s="162">
        <f t="shared" si="18"/>
        <v>4.817618719889883E-3</v>
      </c>
      <c r="E193" s="45"/>
      <c r="F193" s="25" t="s">
        <v>79</v>
      </c>
      <c r="G193" s="15">
        <v>350</v>
      </c>
      <c r="H193" s="162">
        <f t="shared" si="17"/>
        <v>0.24088093599449414</v>
      </c>
    </row>
    <row r="194" spans="1:8" ht="14.5" thickBot="1" x14ac:dyDescent="0.35">
      <c r="A194" s="25" t="s">
        <v>115</v>
      </c>
      <c r="B194" s="15" t="s">
        <v>76</v>
      </c>
      <c r="C194" s="15">
        <v>3</v>
      </c>
      <c r="D194" s="162">
        <f t="shared" si="18"/>
        <v>2.0646937370956643E-3</v>
      </c>
      <c r="E194" s="45"/>
      <c r="F194" s="34" t="s">
        <v>81</v>
      </c>
      <c r="G194" s="24">
        <v>110</v>
      </c>
      <c r="H194" s="184">
        <f t="shared" si="17"/>
        <v>7.5705437026841016E-2</v>
      </c>
    </row>
    <row r="195" spans="1:8" x14ac:dyDescent="0.3">
      <c r="A195" s="25" t="s">
        <v>85</v>
      </c>
      <c r="B195" s="15" t="s">
        <v>76</v>
      </c>
      <c r="C195" s="15">
        <v>7</v>
      </c>
      <c r="D195" s="162">
        <f t="shared" si="18"/>
        <v>4.817618719889883E-3</v>
      </c>
    </row>
    <row r="196" spans="1:8" x14ac:dyDescent="0.3">
      <c r="A196" s="25" t="s">
        <v>86</v>
      </c>
      <c r="B196" s="15" t="s">
        <v>76</v>
      </c>
      <c r="C196" s="15">
        <v>3</v>
      </c>
      <c r="D196" s="162">
        <f t="shared" si="18"/>
        <v>2.0646937370956643E-3</v>
      </c>
    </row>
    <row r="197" spans="1:8" x14ac:dyDescent="0.3">
      <c r="A197" s="25" t="s">
        <v>116</v>
      </c>
      <c r="B197" s="15" t="s">
        <v>76</v>
      </c>
      <c r="C197" s="15">
        <v>2</v>
      </c>
      <c r="D197" s="162">
        <f t="shared" si="18"/>
        <v>1.3764624913971094E-3</v>
      </c>
    </row>
    <row r="198" spans="1:8" x14ac:dyDescent="0.3">
      <c r="A198" s="25" t="s">
        <v>121</v>
      </c>
      <c r="B198" s="15" t="s">
        <v>76</v>
      </c>
      <c r="C198" s="15">
        <v>1</v>
      </c>
      <c r="D198" s="162">
        <f t="shared" si="18"/>
        <v>6.8823124569855469E-4</v>
      </c>
    </row>
    <row r="199" spans="1:8" x14ac:dyDescent="0.3">
      <c r="A199" s="25" t="s">
        <v>87</v>
      </c>
      <c r="B199" s="15" t="s">
        <v>76</v>
      </c>
      <c r="C199" s="15">
        <v>5</v>
      </c>
      <c r="D199" s="162">
        <f t="shared" si="18"/>
        <v>3.4411562284927736E-3</v>
      </c>
    </row>
    <row r="200" spans="1:8" x14ac:dyDescent="0.3">
      <c r="A200" s="25" t="s">
        <v>89</v>
      </c>
      <c r="B200" s="15" t="s">
        <v>76</v>
      </c>
      <c r="C200" s="15">
        <v>4</v>
      </c>
      <c r="D200" s="162">
        <f t="shared" si="18"/>
        <v>2.7529249827942187E-3</v>
      </c>
    </row>
    <row r="201" spans="1:8" x14ac:dyDescent="0.3">
      <c r="A201" s="25" t="s">
        <v>117</v>
      </c>
      <c r="B201" s="15" t="s">
        <v>76</v>
      </c>
      <c r="C201" s="15">
        <v>1</v>
      </c>
      <c r="D201" s="162">
        <f t="shared" si="18"/>
        <v>6.8823124569855469E-4</v>
      </c>
    </row>
    <row r="202" spans="1:8" x14ac:dyDescent="0.3">
      <c r="A202" s="25" t="s">
        <v>90</v>
      </c>
      <c r="B202" s="15" t="s">
        <v>76</v>
      </c>
      <c r="C202" s="15">
        <v>10</v>
      </c>
      <c r="D202" s="162">
        <f t="shared" si="18"/>
        <v>6.8823124569855473E-3</v>
      </c>
    </row>
    <row r="203" spans="1:8" x14ac:dyDescent="0.3">
      <c r="A203" s="25" t="s">
        <v>91</v>
      </c>
      <c r="B203" s="15" t="s">
        <v>76</v>
      </c>
      <c r="C203" s="15">
        <v>2</v>
      </c>
      <c r="D203" s="162">
        <f t="shared" si="18"/>
        <v>1.3764624913971094E-3</v>
      </c>
    </row>
    <row r="204" spans="1:8" x14ac:dyDescent="0.3">
      <c r="A204" s="25" t="s">
        <v>92</v>
      </c>
      <c r="B204" s="15" t="s">
        <v>76</v>
      </c>
      <c r="C204" s="15">
        <v>11</v>
      </c>
      <c r="D204" s="162">
        <f t="shared" si="18"/>
        <v>7.5705437026841018E-3</v>
      </c>
    </row>
    <row r="205" spans="1:8" x14ac:dyDescent="0.3">
      <c r="A205" s="25" t="s">
        <v>93</v>
      </c>
      <c r="B205" s="15" t="s">
        <v>76</v>
      </c>
      <c r="C205" s="15">
        <v>5</v>
      </c>
      <c r="D205" s="162">
        <f t="shared" si="18"/>
        <v>3.4411562284927736E-3</v>
      </c>
    </row>
    <row r="206" spans="1:8" x14ac:dyDescent="0.3">
      <c r="A206" s="25" t="s">
        <v>94</v>
      </c>
      <c r="B206" s="15" t="s">
        <v>78</v>
      </c>
      <c r="C206" s="15">
        <v>1</v>
      </c>
      <c r="D206" s="162">
        <f t="shared" si="18"/>
        <v>6.8823124569855469E-4</v>
      </c>
    </row>
    <row r="207" spans="1:8" x14ac:dyDescent="0.3">
      <c r="A207" s="25" t="s">
        <v>122</v>
      </c>
      <c r="B207" s="15" t="s">
        <v>78</v>
      </c>
      <c r="C207" s="15">
        <v>4</v>
      </c>
      <c r="D207" s="162">
        <f t="shared" si="18"/>
        <v>2.7529249827942187E-3</v>
      </c>
    </row>
    <row r="208" spans="1:8" x14ac:dyDescent="0.3">
      <c r="A208" s="25" t="s">
        <v>95</v>
      </c>
      <c r="B208" s="15" t="s">
        <v>78</v>
      </c>
      <c r="C208" s="15">
        <v>4</v>
      </c>
      <c r="D208" s="162">
        <f t="shared" si="18"/>
        <v>2.7529249827942187E-3</v>
      </c>
    </row>
    <row r="209" spans="1:4" x14ac:dyDescent="0.3">
      <c r="A209" s="25" t="s">
        <v>96</v>
      </c>
      <c r="B209" s="15" t="s">
        <v>78</v>
      </c>
      <c r="C209" s="15">
        <v>7</v>
      </c>
      <c r="D209" s="162">
        <f t="shared" si="18"/>
        <v>4.817618719889883E-3</v>
      </c>
    </row>
    <row r="210" spans="1:4" x14ac:dyDescent="0.3">
      <c r="A210" s="25" t="s">
        <v>123</v>
      </c>
      <c r="B210" s="15" t="s">
        <v>79</v>
      </c>
      <c r="C210" s="15">
        <v>1</v>
      </c>
      <c r="D210" s="162">
        <f t="shared" si="18"/>
        <v>6.8823124569855469E-4</v>
      </c>
    </row>
    <row r="211" spans="1:4" x14ac:dyDescent="0.3">
      <c r="A211" s="25" t="s">
        <v>118</v>
      </c>
      <c r="B211" s="15" t="s">
        <v>79</v>
      </c>
      <c r="C211" s="15">
        <v>2</v>
      </c>
      <c r="D211" s="162">
        <f t="shared" si="18"/>
        <v>1.3764624913971094E-3</v>
      </c>
    </row>
    <row r="212" spans="1:4" x14ac:dyDescent="0.3">
      <c r="A212" s="25" t="s">
        <v>98</v>
      </c>
      <c r="B212" s="15" t="s">
        <v>79</v>
      </c>
      <c r="C212" s="15">
        <v>14</v>
      </c>
      <c r="D212" s="162">
        <f t="shared" si="18"/>
        <v>9.635237439779766E-3</v>
      </c>
    </row>
    <row r="213" spans="1:4" x14ac:dyDescent="0.3">
      <c r="A213" s="25" t="s">
        <v>99</v>
      </c>
      <c r="B213" s="15" t="s">
        <v>79</v>
      </c>
      <c r="C213" s="15">
        <v>17</v>
      </c>
      <c r="D213" s="162">
        <f t="shared" si="18"/>
        <v>1.1699931176875429E-2</v>
      </c>
    </row>
    <row r="214" spans="1:4" x14ac:dyDescent="0.3">
      <c r="A214" s="25" t="s">
        <v>100</v>
      </c>
      <c r="B214" s="15" t="s">
        <v>79</v>
      </c>
      <c r="C214" s="15">
        <v>13</v>
      </c>
      <c r="D214" s="162">
        <f t="shared" si="18"/>
        <v>8.9470061940812116E-3</v>
      </c>
    </row>
    <row r="215" spans="1:4" x14ac:dyDescent="0.3">
      <c r="A215" s="25" t="s">
        <v>101</v>
      </c>
      <c r="B215" s="15" t="s">
        <v>79</v>
      </c>
      <c r="C215" s="15">
        <v>2</v>
      </c>
      <c r="D215" s="162">
        <f t="shared" si="18"/>
        <v>1.3764624913971094E-3</v>
      </c>
    </row>
    <row r="216" spans="1:4" x14ac:dyDescent="0.3">
      <c r="A216" s="25" t="s">
        <v>102</v>
      </c>
      <c r="B216" s="15" t="s">
        <v>79</v>
      </c>
      <c r="C216" s="15">
        <v>44</v>
      </c>
      <c r="D216" s="162">
        <f t="shared" si="18"/>
        <v>3.0282174810736407E-2</v>
      </c>
    </row>
    <row r="217" spans="1:4" x14ac:dyDescent="0.3">
      <c r="A217" s="25" t="s">
        <v>103</v>
      </c>
      <c r="B217" s="15" t="s">
        <v>79</v>
      </c>
      <c r="C217" s="15">
        <v>234</v>
      </c>
      <c r="D217" s="162">
        <f t="shared" si="18"/>
        <v>0.16104611149346179</v>
      </c>
    </row>
    <row r="218" spans="1:4" x14ac:dyDescent="0.3">
      <c r="A218" s="25" t="s">
        <v>104</v>
      </c>
      <c r="B218" s="15" t="s">
        <v>79</v>
      </c>
      <c r="C218" s="15">
        <v>23</v>
      </c>
      <c r="D218" s="162">
        <f t="shared" si="18"/>
        <v>1.5829318651066758E-2</v>
      </c>
    </row>
    <row r="219" spans="1:4" x14ac:dyDescent="0.3">
      <c r="A219" s="25" t="s">
        <v>138</v>
      </c>
      <c r="B219" s="15" t="s">
        <v>81</v>
      </c>
      <c r="C219" s="15">
        <v>32</v>
      </c>
      <c r="D219" s="162">
        <f t="shared" si="18"/>
        <v>2.202339986235375E-2</v>
      </c>
    </row>
    <row r="220" spans="1:4" x14ac:dyDescent="0.3">
      <c r="A220" s="25" t="s">
        <v>106</v>
      </c>
      <c r="B220" s="15" t="s">
        <v>81</v>
      </c>
      <c r="C220" s="15">
        <v>27</v>
      </c>
      <c r="D220" s="162">
        <f t="shared" si="18"/>
        <v>1.8582243633860976E-2</v>
      </c>
    </row>
    <row r="221" spans="1:4" x14ac:dyDescent="0.3">
      <c r="A221" s="25" t="s">
        <v>107</v>
      </c>
      <c r="B221" s="15" t="s">
        <v>81</v>
      </c>
      <c r="C221" s="15">
        <v>16</v>
      </c>
      <c r="D221" s="162">
        <f t="shared" si="18"/>
        <v>1.1011699931176875E-2</v>
      </c>
    </row>
    <row r="222" spans="1:4" x14ac:dyDescent="0.3">
      <c r="A222" s="25" t="s">
        <v>124</v>
      </c>
      <c r="B222" s="15" t="s">
        <v>81</v>
      </c>
      <c r="C222" s="15">
        <v>35</v>
      </c>
      <c r="D222" s="162">
        <f t="shared" si="18"/>
        <v>2.4088093599449415E-2</v>
      </c>
    </row>
    <row r="223" spans="1:4" ht="14.5" thickBot="1" x14ac:dyDescent="0.35">
      <c r="A223" s="34" t="s">
        <v>109</v>
      </c>
      <c r="B223" s="24" t="s">
        <v>125</v>
      </c>
      <c r="C223" s="24">
        <v>17</v>
      </c>
      <c r="D223" s="220" t="s">
        <v>111</v>
      </c>
    </row>
    <row r="224" spans="1:4" x14ac:dyDescent="0.3">
      <c r="D224" s="17"/>
    </row>
    <row r="225" spans="1:8" x14ac:dyDescent="0.3">
      <c r="C225" s="17"/>
    </row>
    <row r="226" spans="1:8" x14ac:dyDescent="0.3">
      <c r="C226" s="17"/>
    </row>
    <row r="227" spans="1:8" ht="14.5" thickBot="1" x14ac:dyDescent="0.35">
      <c r="F227" s="14"/>
    </row>
    <row r="228" spans="1:8" x14ac:dyDescent="0.3">
      <c r="A228" s="8" t="s">
        <v>126</v>
      </c>
      <c r="B228" s="9" t="s">
        <v>68</v>
      </c>
      <c r="C228" s="9" t="s">
        <v>49</v>
      </c>
      <c r="D228" s="58" t="s">
        <v>50</v>
      </c>
      <c r="E228" s="44"/>
      <c r="F228" s="163" t="s">
        <v>127</v>
      </c>
      <c r="G228" s="9" t="s">
        <v>114</v>
      </c>
      <c r="H228" s="58" t="s">
        <v>50</v>
      </c>
    </row>
    <row r="229" spans="1:8" x14ac:dyDescent="0.3">
      <c r="A229" s="25" t="s">
        <v>71</v>
      </c>
      <c r="B229" s="15" t="s">
        <v>72</v>
      </c>
      <c r="C229" s="15">
        <v>71</v>
      </c>
      <c r="D229" s="162">
        <f>C229/1505</f>
        <v>4.7176079734219271E-2</v>
      </c>
      <c r="E229" s="45"/>
      <c r="F229" s="25" t="s">
        <v>72</v>
      </c>
      <c r="G229" s="15">
        <v>154</v>
      </c>
      <c r="H229" s="162">
        <f>G229/1505</f>
        <v>0.10232558139534884</v>
      </c>
    </row>
    <row r="230" spans="1:8" x14ac:dyDescent="0.3">
      <c r="A230" s="25" t="s">
        <v>73</v>
      </c>
      <c r="B230" s="15" t="s">
        <v>72</v>
      </c>
      <c r="C230" s="15">
        <v>24</v>
      </c>
      <c r="D230" s="162">
        <f t="shared" ref="D230:D260" si="19">C230/1505</f>
        <v>1.5946843853820596E-2</v>
      </c>
      <c r="E230" s="45"/>
      <c r="F230" s="25" t="s">
        <v>74</v>
      </c>
      <c r="G230" s="15">
        <v>26</v>
      </c>
      <c r="H230" s="162">
        <f t="shared" ref="H230:H234" si="20">G230/1505</f>
        <v>1.7275747508305649E-2</v>
      </c>
    </row>
    <row r="231" spans="1:8" x14ac:dyDescent="0.3">
      <c r="A231" s="25" t="s">
        <v>75</v>
      </c>
      <c r="B231" s="15" t="s">
        <v>72</v>
      </c>
      <c r="C231" s="15">
        <v>42</v>
      </c>
      <c r="D231" s="162">
        <f t="shared" si="19"/>
        <v>2.7906976744186046E-2</v>
      </c>
      <c r="E231" s="45"/>
      <c r="F231" s="101" t="s">
        <v>76</v>
      </c>
      <c r="G231" s="15">
        <v>302</v>
      </c>
      <c r="H231" s="162">
        <f t="shared" si="20"/>
        <v>0.20066445182724252</v>
      </c>
    </row>
    <row r="232" spans="1:8" x14ac:dyDescent="0.3">
      <c r="A232" s="25" t="s">
        <v>77</v>
      </c>
      <c r="B232" s="15" t="s">
        <v>72</v>
      </c>
      <c r="C232" s="15">
        <v>17</v>
      </c>
      <c r="D232" s="162">
        <f t="shared" si="19"/>
        <v>1.1295681063122924E-2</v>
      </c>
      <c r="E232" s="45"/>
      <c r="F232" s="25" t="s">
        <v>78</v>
      </c>
      <c r="G232" s="15">
        <v>280</v>
      </c>
      <c r="H232" s="162">
        <f t="shared" si="20"/>
        <v>0.18604651162790697</v>
      </c>
    </row>
    <row r="233" spans="1:8" x14ac:dyDescent="0.3">
      <c r="A233" s="25" t="s">
        <v>74</v>
      </c>
      <c r="B233" s="15" t="s">
        <v>74</v>
      </c>
      <c r="C233" s="15">
        <v>26</v>
      </c>
      <c r="D233" s="162">
        <f t="shared" si="19"/>
        <v>1.7275747508305649E-2</v>
      </c>
      <c r="E233" s="45"/>
      <c r="F233" s="25" t="s">
        <v>79</v>
      </c>
      <c r="G233" s="15">
        <v>310</v>
      </c>
      <c r="H233" s="162">
        <v>0.2</v>
      </c>
    </row>
    <row r="234" spans="1:8" ht="14.5" thickBot="1" x14ac:dyDescent="0.35">
      <c r="A234" s="25" t="s">
        <v>115</v>
      </c>
      <c r="B234" s="15" t="s">
        <v>76</v>
      </c>
      <c r="C234" s="15">
        <v>27</v>
      </c>
      <c r="D234" s="162">
        <f t="shared" si="19"/>
        <v>1.7940199335548173E-2</v>
      </c>
      <c r="E234" s="45"/>
      <c r="F234" s="34" t="s">
        <v>81</v>
      </c>
      <c r="G234" s="24">
        <v>433</v>
      </c>
      <c r="H234" s="184">
        <f t="shared" si="20"/>
        <v>0.28770764119601328</v>
      </c>
    </row>
    <row r="235" spans="1:8" x14ac:dyDescent="0.3">
      <c r="A235" s="25" t="s">
        <v>82</v>
      </c>
      <c r="B235" s="15" t="s">
        <v>76</v>
      </c>
      <c r="C235" s="15">
        <v>1</v>
      </c>
      <c r="D235" s="162">
        <f t="shared" si="19"/>
        <v>6.6445182724252495E-4</v>
      </c>
    </row>
    <row r="236" spans="1:8" x14ac:dyDescent="0.3">
      <c r="A236" s="25" t="s">
        <v>128</v>
      </c>
      <c r="B236" s="15" t="s">
        <v>76</v>
      </c>
      <c r="C236" s="15">
        <v>1</v>
      </c>
      <c r="D236" s="162">
        <f t="shared" si="19"/>
        <v>6.6445182724252495E-4</v>
      </c>
    </row>
    <row r="237" spans="1:8" x14ac:dyDescent="0.3">
      <c r="A237" s="25" t="s">
        <v>84</v>
      </c>
      <c r="B237" s="15" t="s">
        <v>76</v>
      </c>
      <c r="C237" s="15">
        <v>4</v>
      </c>
      <c r="D237" s="162">
        <f t="shared" si="19"/>
        <v>2.6578073089700998E-3</v>
      </c>
    </row>
    <row r="238" spans="1:8" x14ac:dyDescent="0.3">
      <c r="A238" s="25" t="s">
        <v>85</v>
      </c>
      <c r="B238" s="15" t="s">
        <v>76</v>
      </c>
      <c r="C238" s="15">
        <v>12</v>
      </c>
      <c r="D238" s="162">
        <f t="shared" si="19"/>
        <v>7.9734219269102981E-3</v>
      </c>
    </row>
    <row r="239" spans="1:8" x14ac:dyDescent="0.3">
      <c r="A239" s="25" t="s">
        <v>86</v>
      </c>
      <c r="B239" s="15" t="s">
        <v>76</v>
      </c>
      <c r="C239" s="15">
        <v>2</v>
      </c>
      <c r="D239" s="162">
        <f t="shared" si="19"/>
        <v>1.3289036544850499E-3</v>
      </c>
    </row>
    <row r="240" spans="1:8" x14ac:dyDescent="0.3">
      <c r="A240" s="25" t="s">
        <v>87</v>
      </c>
      <c r="B240" s="15" t="s">
        <v>76</v>
      </c>
      <c r="C240" s="15">
        <v>27</v>
      </c>
      <c r="D240" s="162">
        <f t="shared" si="19"/>
        <v>1.7940199335548173E-2</v>
      </c>
    </row>
    <row r="241" spans="1:4" x14ac:dyDescent="0.3">
      <c r="A241" s="25" t="s">
        <v>88</v>
      </c>
      <c r="B241" s="15" t="s">
        <v>76</v>
      </c>
      <c r="C241" s="15">
        <v>3</v>
      </c>
      <c r="D241" s="162">
        <f t="shared" si="19"/>
        <v>1.9933554817275745E-3</v>
      </c>
    </row>
    <row r="242" spans="1:4" x14ac:dyDescent="0.3">
      <c r="A242" s="25" t="s">
        <v>89</v>
      </c>
      <c r="B242" s="15" t="s">
        <v>76</v>
      </c>
      <c r="C242" s="15">
        <v>1</v>
      </c>
      <c r="D242" s="162">
        <f t="shared" si="19"/>
        <v>6.6445182724252495E-4</v>
      </c>
    </row>
    <row r="243" spans="1:4" x14ac:dyDescent="0.3">
      <c r="A243" s="25" t="s">
        <v>90</v>
      </c>
      <c r="B243" s="15" t="s">
        <v>76</v>
      </c>
      <c r="C243" s="15">
        <v>143</v>
      </c>
      <c r="D243" s="162">
        <f t="shared" si="19"/>
        <v>9.5016611295681064E-2</v>
      </c>
    </row>
    <row r="244" spans="1:4" x14ac:dyDescent="0.3">
      <c r="A244" s="25" t="s">
        <v>91</v>
      </c>
      <c r="B244" s="15" t="s">
        <v>76</v>
      </c>
      <c r="C244" s="15">
        <v>26</v>
      </c>
      <c r="D244" s="162">
        <f t="shared" si="19"/>
        <v>1.7275747508305649E-2</v>
      </c>
    </row>
    <row r="245" spans="1:4" x14ac:dyDescent="0.3">
      <c r="A245" s="25" t="s">
        <v>92</v>
      </c>
      <c r="B245" s="15" t="s">
        <v>76</v>
      </c>
      <c r="C245" s="15">
        <v>26</v>
      </c>
      <c r="D245" s="162">
        <f t="shared" si="19"/>
        <v>1.7275747508305649E-2</v>
      </c>
    </row>
    <row r="246" spans="1:4" x14ac:dyDescent="0.3">
      <c r="A246" s="25" t="s">
        <v>93</v>
      </c>
      <c r="B246" s="15" t="s">
        <v>76</v>
      </c>
      <c r="C246" s="15">
        <v>29</v>
      </c>
      <c r="D246" s="162">
        <f t="shared" si="19"/>
        <v>1.9269102990033222E-2</v>
      </c>
    </row>
    <row r="247" spans="1:4" x14ac:dyDescent="0.3">
      <c r="A247" s="25" t="s">
        <v>129</v>
      </c>
      <c r="B247" s="15" t="s">
        <v>78</v>
      </c>
      <c r="C247" s="15">
        <v>1</v>
      </c>
      <c r="D247" s="162">
        <f t="shared" si="19"/>
        <v>6.6445182724252495E-4</v>
      </c>
    </row>
    <row r="248" spans="1:4" x14ac:dyDescent="0.3">
      <c r="A248" s="25" t="s">
        <v>94</v>
      </c>
      <c r="B248" s="15" t="s">
        <v>78</v>
      </c>
      <c r="C248" s="15">
        <v>12</v>
      </c>
      <c r="D248" s="162">
        <f t="shared" si="19"/>
        <v>7.9734219269102981E-3</v>
      </c>
    </row>
    <row r="249" spans="1:4" x14ac:dyDescent="0.3">
      <c r="A249" s="25" t="s">
        <v>95</v>
      </c>
      <c r="B249" s="15" t="s">
        <v>78</v>
      </c>
      <c r="C249" s="15">
        <v>121</v>
      </c>
      <c r="D249" s="162">
        <f t="shared" si="19"/>
        <v>8.039867109634552E-2</v>
      </c>
    </row>
    <row r="250" spans="1:4" x14ac:dyDescent="0.3">
      <c r="A250" s="25" t="s">
        <v>96</v>
      </c>
      <c r="B250" s="15" t="s">
        <v>78</v>
      </c>
      <c r="C250" s="15">
        <v>146</v>
      </c>
      <c r="D250" s="162">
        <f t="shared" si="19"/>
        <v>9.700996677740864E-2</v>
      </c>
    </row>
    <row r="251" spans="1:4" x14ac:dyDescent="0.3">
      <c r="A251" s="25" t="s">
        <v>97</v>
      </c>
      <c r="B251" s="15" t="s">
        <v>79</v>
      </c>
      <c r="C251" s="15">
        <v>73</v>
      </c>
      <c r="D251" s="162">
        <f t="shared" si="19"/>
        <v>4.850498338870432E-2</v>
      </c>
    </row>
    <row r="252" spans="1:4" x14ac:dyDescent="0.3">
      <c r="A252" s="25" t="s">
        <v>99</v>
      </c>
      <c r="B252" s="15" t="s">
        <v>79</v>
      </c>
      <c r="C252" s="15">
        <v>40</v>
      </c>
      <c r="D252" s="162">
        <f t="shared" si="19"/>
        <v>2.6578073089700997E-2</v>
      </c>
    </row>
    <row r="253" spans="1:4" x14ac:dyDescent="0.3">
      <c r="A253" s="25" t="s">
        <v>100</v>
      </c>
      <c r="B253" s="15" t="s">
        <v>79</v>
      </c>
      <c r="C253" s="15">
        <v>73</v>
      </c>
      <c r="D253" s="162">
        <f t="shared" si="19"/>
        <v>4.850498338870432E-2</v>
      </c>
    </row>
    <row r="254" spans="1:4" x14ac:dyDescent="0.3">
      <c r="A254" s="25" t="s">
        <v>101</v>
      </c>
      <c r="B254" s="15" t="s">
        <v>79</v>
      </c>
      <c r="C254" s="15">
        <v>84</v>
      </c>
      <c r="D254" s="162">
        <f t="shared" si="19"/>
        <v>5.5813953488372092E-2</v>
      </c>
    </row>
    <row r="255" spans="1:4" x14ac:dyDescent="0.3">
      <c r="A255" s="25" t="s">
        <v>102</v>
      </c>
      <c r="B255" s="15" t="s">
        <v>79</v>
      </c>
      <c r="C255" s="15">
        <v>22</v>
      </c>
      <c r="D255" s="162">
        <f t="shared" si="19"/>
        <v>1.4617940199335547E-2</v>
      </c>
    </row>
    <row r="256" spans="1:4" x14ac:dyDescent="0.3">
      <c r="A256" s="25" t="s">
        <v>103</v>
      </c>
      <c r="B256" s="15" t="s">
        <v>79</v>
      </c>
      <c r="C256" s="15">
        <v>18</v>
      </c>
      <c r="D256" s="162">
        <f t="shared" si="19"/>
        <v>1.1960132890365448E-2</v>
      </c>
    </row>
    <row r="257" spans="1:8" x14ac:dyDescent="0.3">
      <c r="A257" s="25" t="s">
        <v>138</v>
      </c>
      <c r="B257" s="15" t="s">
        <v>81</v>
      </c>
      <c r="C257" s="15">
        <v>27</v>
      </c>
      <c r="D257" s="162">
        <f t="shared" si="19"/>
        <v>1.7940199335548173E-2</v>
      </c>
    </row>
    <row r="258" spans="1:8" x14ac:dyDescent="0.3">
      <c r="A258" s="25" t="s">
        <v>106</v>
      </c>
      <c r="B258" s="15" t="s">
        <v>81</v>
      </c>
      <c r="C258" s="15">
        <v>21</v>
      </c>
      <c r="D258" s="162">
        <f t="shared" si="19"/>
        <v>1.3953488372093023E-2</v>
      </c>
    </row>
    <row r="259" spans="1:8" x14ac:dyDescent="0.3">
      <c r="A259" s="25" t="s">
        <v>107</v>
      </c>
      <c r="B259" s="15" t="s">
        <v>81</v>
      </c>
      <c r="C259" s="15">
        <v>321</v>
      </c>
      <c r="D259" s="162">
        <f t="shared" si="19"/>
        <v>0.21328903654485049</v>
      </c>
    </row>
    <row r="260" spans="1:8" x14ac:dyDescent="0.3">
      <c r="A260" s="25" t="s">
        <v>108</v>
      </c>
      <c r="B260" s="15" t="s">
        <v>81</v>
      </c>
      <c r="C260" s="15">
        <v>64</v>
      </c>
      <c r="D260" s="162">
        <f t="shared" si="19"/>
        <v>4.2524916943521597E-2</v>
      </c>
    </row>
    <row r="261" spans="1:8" ht="14.5" thickBot="1" x14ac:dyDescent="0.35">
      <c r="A261" s="34" t="s">
        <v>130</v>
      </c>
      <c r="B261" s="24" t="s">
        <v>125</v>
      </c>
      <c r="C261" s="24">
        <v>88</v>
      </c>
      <c r="D261" s="220" t="s">
        <v>111</v>
      </c>
    </row>
    <row r="262" spans="1:8" x14ac:dyDescent="0.3">
      <c r="A262" s="37"/>
      <c r="B262" s="37"/>
      <c r="C262" s="37"/>
      <c r="D262" s="221"/>
    </row>
    <row r="263" spans="1:8" x14ac:dyDescent="0.3">
      <c r="C263" s="17"/>
    </row>
    <row r="264" spans="1:8" x14ac:dyDescent="0.3">
      <c r="C264" s="17"/>
    </row>
    <row r="265" spans="1:8" ht="14.5" thickBot="1" x14ac:dyDescent="0.35">
      <c r="C265" s="17"/>
      <c r="F265" s="14"/>
    </row>
    <row r="266" spans="1:8" ht="14.5" thickBot="1" x14ac:dyDescent="0.35">
      <c r="A266" s="8" t="s">
        <v>131</v>
      </c>
      <c r="B266" s="9" t="s">
        <v>68</v>
      </c>
      <c r="C266" s="9" t="s">
        <v>49</v>
      </c>
      <c r="D266" s="58" t="s">
        <v>50</v>
      </c>
      <c r="E266" s="44"/>
      <c r="F266" s="163" t="s">
        <v>132</v>
      </c>
      <c r="G266" s="50" t="s">
        <v>114</v>
      </c>
      <c r="H266" s="76" t="s">
        <v>50</v>
      </c>
    </row>
    <row r="267" spans="1:8" x14ac:dyDescent="0.3">
      <c r="A267" s="25" t="s">
        <v>71</v>
      </c>
      <c r="B267" s="15" t="s">
        <v>72</v>
      </c>
      <c r="C267" s="15">
        <v>76</v>
      </c>
      <c r="D267" s="162">
        <f>C267/1025</f>
        <v>7.4146341463414631E-2</v>
      </c>
      <c r="E267" s="45"/>
      <c r="F267" s="107" t="s">
        <v>72</v>
      </c>
      <c r="G267" s="108">
        <v>157</v>
      </c>
      <c r="H267" s="162">
        <f t="shared" ref="H267:H272" si="21">G267/1025</f>
        <v>0.15317073170731707</v>
      </c>
    </row>
    <row r="268" spans="1:8" x14ac:dyDescent="0.3">
      <c r="A268" s="25" t="s">
        <v>73</v>
      </c>
      <c r="B268" s="15" t="s">
        <v>72</v>
      </c>
      <c r="C268" s="15">
        <v>6</v>
      </c>
      <c r="D268" s="162">
        <f t="shared" ref="D268:D300" si="22">C268/1025</f>
        <v>5.8536585365853658E-3</v>
      </c>
      <c r="E268" s="45"/>
      <c r="F268" s="25" t="s">
        <v>74</v>
      </c>
      <c r="G268" s="15">
        <v>23</v>
      </c>
      <c r="H268" s="162">
        <f t="shared" si="21"/>
        <v>2.2439024390243902E-2</v>
      </c>
    </row>
    <row r="269" spans="1:8" x14ac:dyDescent="0.3">
      <c r="A269" s="25" t="s">
        <v>75</v>
      </c>
      <c r="B269" s="15" t="s">
        <v>72</v>
      </c>
      <c r="C269" s="15">
        <v>66</v>
      </c>
      <c r="D269" s="162">
        <f t="shared" si="22"/>
        <v>6.4390243902439026E-2</v>
      </c>
      <c r="E269" s="45"/>
      <c r="F269" s="101" t="s">
        <v>76</v>
      </c>
      <c r="G269" s="15">
        <v>354</v>
      </c>
      <c r="H269" s="162">
        <f t="shared" si="21"/>
        <v>0.34536585365853656</v>
      </c>
    </row>
    <row r="270" spans="1:8" x14ac:dyDescent="0.3">
      <c r="A270" s="25" t="s">
        <v>77</v>
      </c>
      <c r="B270" s="15" t="s">
        <v>72</v>
      </c>
      <c r="C270" s="15">
        <v>9</v>
      </c>
      <c r="D270" s="162">
        <f t="shared" si="22"/>
        <v>8.7804878048780496E-3</v>
      </c>
      <c r="E270" s="45"/>
      <c r="F270" s="25" t="s">
        <v>78</v>
      </c>
      <c r="G270" s="15">
        <v>76</v>
      </c>
      <c r="H270" s="162">
        <f t="shared" si="21"/>
        <v>7.4146341463414631E-2</v>
      </c>
    </row>
    <row r="271" spans="1:8" x14ac:dyDescent="0.3">
      <c r="A271" s="25" t="s">
        <v>74</v>
      </c>
      <c r="B271" s="15" t="s">
        <v>74</v>
      </c>
      <c r="C271" s="15">
        <v>23</v>
      </c>
      <c r="D271" s="162">
        <f t="shared" si="22"/>
        <v>2.2439024390243902E-2</v>
      </c>
      <c r="E271" s="45"/>
      <c r="F271" s="25" t="s">
        <v>79</v>
      </c>
      <c r="G271" s="15">
        <v>138</v>
      </c>
      <c r="H271" s="162">
        <f t="shared" si="21"/>
        <v>0.13463414634146342</v>
      </c>
    </row>
    <row r="272" spans="1:8" ht="14.5" thickBot="1" x14ac:dyDescent="0.35">
      <c r="A272" s="25" t="s">
        <v>115</v>
      </c>
      <c r="B272" s="15" t="s">
        <v>76</v>
      </c>
      <c r="C272" s="15">
        <v>30</v>
      </c>
      <c r="D272" s="162">
        <f t="shared" si="22"/>
        <v>2.9268292682926831E-2</v>
      </c>
      <c r="E272" s="45"/>
      <c r="F272" s="34" t="s">
        <v>81</v>
      </c>
      <c r="G272" s="24">
        <v>277</v>
      </c>
      <c r="H272" s="184">
        <f t="shared" si="21"/>
        <v>0.27024390243902441</v>
      </c>
    </row>
    <row r="273" spans="1:4" x14ac:dyDescent="0.3">
      <c r="A273" s="25" t="s">
        <v>84</v>
      </c>
      <c r="B273" s="15" t="s">
        <v>76</v>
      </c>
      <c r="C273" s="15">
        <v>3</v>
      </c>
      <c r="D273" s="162">
        <f t="shared" si="22"/>
        <v>2.9268292682926829E-3</v>
      </c>
    </row>
    <row r="274" spans="1:4" x14ac:dyDescent="0.3">
      <c r="A274" s="25" t="s">
        <v>85</v>
      </c>
      <c r="B274" s="15" t="s">
        <v>76</v>
      </c>
      <c r="C274" s="15">
        <v>16</v>
      </c>
      <c r="D274" s="162">
        <f t="shared" si="22"/>
        <v>1.5609756097560976E-2</v>
      </c>
    </row>
    <row r="275" spans="1:4" x14ac:dyDescent="0.3">
      <c r="A275" s="25" t="s">
        <v>86</v>
      </c>
      <c r="B275" s="15" t="s">
        <v>76</v>
      </c>
      <c r="C275" s="15">
        <v>6</v>
      </c>
      <c r="D275" s="162">
        <f t="shared" si="22"/>
        <v>5.8536585365853658E-3</v>
      </c>
    </row>
    <row r="276" spans="1:4" x14ac:dyDescent="0.3">
      <c r="A276" s="25" t="s">
        <v>116</v>
      </c>
      <c r="B276" s="15" t="s">
        <v>76</v>
      </c>
      <c r="C276" s="15">
        <v>1</v>
      </c>
      <c r="D276" s="162">
        <f t="shared" si="22"/>
        <v>9.7560975609756097E-4</v>
      </c>
    </row>
    <row r="277" spans="1:4" x14ac:dyDescent="0.3">
      <c r="A277" s="25" t="s">
        <v>121</v>
      </c>
      <c r="B277" s="15" t="s">
        <v>76</v>
      </c>
      <c r="C277" s="15">
        <v>2</v>
      </c>
      <c r="D277" s="162">
        <f t="shared" si="22"/>
        <v>1.9512195121951219E-3</v>
      </c>
    </row>
    <row r="278" spans="1:4" x14ac:dyDescent="0.3">
      <c r="A278" s="25" t="s">
        <v>87</v>
      </c>
      <c r="B278" s="15" t="s">
        <v>76</v>
      </c>
      <c r="C278" s="15">
        <v>23</v>
      </c>
      <c r="D278" s="162">
        <f t="shared" si="22"/>
        <v>2.2439024390243902E-2</v>
      </c>
    </row>
    <row r="279" spans="1:4" x14ac:dyDescent="0.3">
      <c r="A279" s="25" t="s">
        <v>88</v>
      </c>
      <c r="B279" s="15" t="s">
        <v>76</v>
      </c>
      <c r="C279" s="15">
        <v>3</v>
      </c>
      <c r="D279" s="162">
        <f t="shared" si="22"/>
        <v>2.9268292682926829E-3</v>
      </c>
    </row>
    <row r="280" spans="1:4" x14ac:dyDescent="0.3">
      <c r="A280" s="25" t="s">
        <v>89</v>
      </c>
      <c r="B280" s="15" t="s">
        <v>76</v>
      </c>
      <c r="C280" s="15">
        <v>3</v>
      </c>
      <c r="D280" s="162">
        <f t="shared" si="22"/>
        <v>2.9268292682926829E-3</v>
      </c>
    </row>
    <row r="281" spans="1:4" x14ac:dyDescent="0.3">
      <c r="A281" s="25" t="s">
        <v>90</v>
      </c>
      <c r="B281" s="15" t="s">
        <v>76</v>
      </c>
      <c r="C281" s="15">
        <v>97</v>
      </c>
      <c r="D281" s="162">
        <f t="shared" si="22"/>
        <v>9.4634146341463415E-2</v>
      </c>
    </row>
    <row r="282" spans="1:4" x14ac:dyDescent="0.3">
      <c r="A282" s="25" t="s">
        <v>91</v>
      </c>
      <c r="B282" s="15" t="s">
        <v>76</v>
      </c>
      <c r="C282" s="15">
        <v>111</v>
      </c>
      <c r="D282" s="162">
        <f t="shared" si="22"/>
        <v>0.10829268292682927</v>
      </c>
    </row>
    <row r="283" spans="1:4" x14ac:dyDescent="0.3">
      <c r="A283" s="25" t="s">
        <v>92</v>
      </c>
      <c r="B283" s="15" t="s">
        <v>76</v>
      </c>
      <c r="C283" s="15">
        <v>10</v>
      </c>
      <c r="D283" s="162">
        <f t="shared" si="22"/>
        <v>9.7560975609756097E-3</v>
      </c>
    </row>
    <row r="284" spans="1:4" x14ac:dyDescent="0.3">
      <c r="A284" s="25" t="s">
        <v>93</v>
      </c>
      <c r="B284" s="15" t="s">
        <v>76</v>
      </c>
      <c r="C284" s="15">
        <v>49</v>
      </c>
      <c r="D284" s="162">
        <f t="shared" si="22"/>
        <v>4.7804878048780489E-2</v>
      </c>
    </row>
    <row r="285" spans="1:4" x14ac:dyDescent="0.3">
      <c r="A285" s="25" t="s">
        <v>94</v>
      </c>
      <c r="B285" s="15" t="s">
        <v>78</v>
      </c>
      <c r="C285" s="15">
        <v>8</v>
      </c>
      <c r="D285" s="162">
        <f t="shared" si="22"/>
        <v>7.8048780487804878E-3</v>
      </c>
    </row>
    <row r="286" spans="1:4" x14ac:dyDescent="0.3">
      <c r="A286" s="25" t="s">
        <v>122</v>
      </c>
      <c r="B286" s="15" t="s">
        <v>78</v>
      </c>
      <c r="C286" s="15">
        <v>1</v>
      </c>
      <c r="D286" s="162">
        <f t="shared" si="22"/>
        <v>9.7560975609756097E-4</v>
      </c>
    </row>
    <row r="287" spans="1:4" x14ac:dyDescent="0.3">
      <c r="A287" s="25" t="s">
        <v>95</v>
      </c>
      <c r="B287" s="15" t="s">
        <v>78</v>
      </c>
      <c r="C287" s="15">
        <v>25</v>
      </c>
      <c r="D287" s="162">
        <f t="shared" si="22"/>
        <v>2.4390243902439025E-2</v>
      </c>
    </row>
    <row r="288" spans="1:4" x14ac:dyDescent="0.3">
      <c r="A288" s="25" t="s">
        <v>96</v>
      </c>
      <c r="B288" s="15" t="s">
        <v>78</v>
      </c>
      <c r="C288" s="15">
        <v>42</v>
      </c>
      <c r="D288" s="162">
        <f t="shared" si="22"/>
        <v>4.0975609756097563E-2</v>
      </c>
    </row>
    <row r="289" spans="1:4" x14ac:dyDescent="0.3">
      <c r="A289" s="25" t="s">
        <v>97</v>
      </c>
      <c r="B289" s="15" t="s">
        <v>79</v>
      </c>
      <c r="C289" s="15">
        <v>4</v>
      </c>
      <c r="D289" s="162">
        <f t="shared" si="22"/>
        <v>3.9024390243902439E-3</v>
      </c>
    </row>
    <row r="290" spans="1:4" x14ac:dyDescent="0.3">
      <c r="A290" s="25" t="s">
        <v>118</v>
      </c>
      <c r="B290" s="15" t="s">
        <v>79</v>
      </c>
      <c r="C290" s="15">
        <v>1</v>
      </c>
      <c r="D290" s="162">
        <f t="shared" si="22"/>
        <v>9.7560975609756097E-4</v>
      </c>
    </row>
    <row r="291" spans="1:4" x14ac:dyDescent="0.3">
      <c r="A291" s="25" t="s">
        <v>98</v>
      </c>
      <c r="B291" s="15" t="s">
        <v>79</v>
      </c>
      <c r="C291" s="15">
        <v>2</v>
      </c>
      <c r="D291" s="162">
        <f t="shared" si="22"/>
        <v>1.9512195121951219E-3</v>
      </c>
    </row>
    <row r="292" spans="1:4" x14ac:dyDescent="0.3">
      <c r="A292" s="25" t="s">
        <v>99</v>
      </c>
      <c r="B292" s="15" t="s">
        <v>79</v>
      </c>
      <c r="C292" s="15">
        <v>31</v>
      </c>
      <c r="D292" s="162">
        <f t="shared" si="22"/>
        <v>3.0243902439024389E-2</v>
      </c>
    </row>
    <row r="293" spans="1:4" x14ac:dyDescent="0.3">
      <c r="A293" s="25" t="s">
        <v>100</v>
      </c>
      <c r="B293" s="15" t="s">
        <v>79</v>
      </c>
      <c r="C293" s="15">
        <v>29</v>
      </c>
      <c r="D293" s="162">
        <f t="shared" si="22"/>
        <v>2.8292682926829269E-2</v>
      </c>
    </row>
    <row r="294" spans="1:4" x14ac:dyDescent="0.3">
      <c r="A294" s="25" t="s">
        <v>101</v>
      </c>
      <c r="B294" s="15" t="s">
        <v>79</v>
      </c>
      <c r="C294" s="15">
        <v>16</v>
      </c>
      <c r="D294" s="162">
        <f t="shared" si="22"/>
        <v>1.5609756097560976E-2</v>
      </c>
    </row>
    <row r="295" spans="1:4" x14ac:dyDescent="0.3">
      <c r="A295" s="25" t="s">
        <v>102</v>
      </c>
      <c r="B295" s="15" t="s">
        <v>79</v>
      </c>
      <c r="C295" s="15">
        <v>29</v>
      </c>
      <c r="D295" s="162">
        <f t="shared" si="22"/>
        <v>2.8292682926829269E-2</v>
      </c>
    </row>
    <row r="296" spans="1:4" x14ac:dyDescent="0.3">
      <c r="A296" s="25" t="s">
        <v>103</v>
      </c>
      <c r="B296" s="15" t="s">
        <v>79</v>
      </c>
      <c r="C296" s="15">
        <v>26</v>
      </c>
      <c r="D296" s="162">
        <f t="shared" si="22"/>
        <v>2.5365853658536587E-2</v>
      </c>
    </row>
    <row r="297" spans="1:4" x14ac:dyDescent="0.3">
      <c r="A297" s="25" t="s">
        <v>138</v>
      </c>
      <c r="B297" s="15" t="s">
        <v>81</v>
      </c>
      <c r="C297" s="15">
        <v>29</v>
      </c>
      <c r="D297" s="162">
        <f t="shared" si="22"/>
        <v>2.8292682926829269E-2</v>
      </c>
    </row>
    <row r="298" spans="1:4" x14ac:dyDescent="0.3">
      <c r="A298" s="25" t="s">
        <v>106</v>
      </c>
      <c r="B298" s="15" t="s">
        <v>81</v>
      </c>
      <c r="C298" s="15">
        <v>26</v>
      </c>
      <c r="D298" s="162">
        <f t="shared" si="22"/>
        <v>2.5365853658536587E-2</v>
      </c>
    </row>
    <row r="299" spans="1:4" x14ac:dyDescent="0.3">
      <c r="A299" s="25" t="s">
        <v>107</v>
      </c>
      <c r="B299" s="15" t="s">
        <v>81</v>
      </c>
      <c r="C299" s="15">
        <v>145</v>
      </c>
      <c r="D299" s="162">
        <f t="shared" si="22"/>
        <v>0.14146341463414633</v>
      </c>
    </row>
    <row r="300" spans="1:4" x14ac:dyDescent="0.3">
      <c r="A300" s="25" t="s">
        <v>108</v>
      </c>
      <c r="B300" s="15" t="s">
        <v>81</v>
      </c>
      <c r="C300" s="15">
        <v>77</v>
      </c>
      <c r="D300" s="162">
        <f t="shared" si="22"/>
        <v>7.5121951219512192E-2</v>
      </c>
    </row>
    <row r="301" spans="1:4" ht="14.5" thickBot="1" x14ac:dyDescent="0.35">
      <c r="A301" s="34" t="s">
        <v>130</v>
      </c>
      <c r="B301" s="24" t="s">
        <v>125</v>
      </c>
      <c r="C301" s="24">
        <v>38</v>
      </c>
      <c r="D301" s="220" t="s">
        <v>111</v>
      </c>
    </row>
  </sheetData>
  <sheetProtection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tabColor rgb="FFFF0000"/>
  </sheetPr>
  <dimension ref="A1:H225"/>
  <sheetViews>
    <sheetView showGridLines="0" zoomScale="75" zoomScaleNormal="75" workbookViewId="0">
      <selection activeCell="B15" sqref="B15"/>
    </sheetView>
  </sheetViews>
  <sheetFormatPr defaultColWidth="9" defaultRowHeight="14" x14ac:dyDescent="0.3"/>
  <cols>
    <col min="1" max="1" width="83.26953125" style="13" customWidth="1"/>
    <col min="2" max="2" width="36" style="13" bestFit="1" customWidth="1"/>
    <col min="3" max="4" width="15.1796875" style="13" bestFit="1" customWidth="1"/>
    <col min="5" max="5" width="16.54296875" style="13" customWidth="1"/>
    <col min="6" max="6" width="72.26953125" style="13" customWidth="1"/>
    <col min="7" max="8" width="14.1796875" style="13" bestFit="1" customWidth="1"/>
    <col min="9" max="16384" width="9" style="13"/>
  </cols>
  <sheetData>
    <row r="1" spans="1:6" x14ac:dyDescent="0.3">
      <c r="A1" s="3" t="s">
        <v>147</v>
      </c>
      <c r="B1" s="4" t="s">
        <v>1</v>
      </c>
      <c r="C1" s="4" t="s">
        <v>2</v>
      </c>
      <c r="D1" s="4" t="s">
        <v>3</v>
      </c>
      <c r="E1" s="5" t="s">
        <v>4</v>
      </c>
    </row>
    <row r="2" spans="1:6" x14ac:dyDescent="0.3">
      <c r="A2" s="28" t="s">
        <v>5</v>
      </c>
      <c r="B2" s="29">
        <v>3</v>
      </c>
      <c r="C2" s="29">
        <v>3</v>
      </c>
      <c r="D2" s="29">
        <v>4</v>
      </c>
      <c r="E2" s="30">
        <v>4</v>
      </c>
    </row>
    <row r="3" spans="1:6" x14ac:dyDescent="0.3">
      <c r="A3" s="28" t="s">
        <v>6</v>
      </c>
      <c r="B3" s="29">
        <v>4</v>
      </c>
      <c r="C3" s="29">
        <v>4</v>
      </c>
      <c r="D3" s="29">
        <v>4</v>
      </c>
      <c r="E3" s="30">
        <v>4</v>
      </c>
    </row>
    <row r="4" spans="1:6" x14ac:dyDescent="0.3">
      <c r="A4" s="28" t="s">
        <v>7</v>
      </c>
      <c r="B4" s="29">
        <v>3</v>
      </c>
      <c r="C4" s="29">
        <v>3</v>
      </c>
      <c r="D4" s="29">
        <v>2</v>
      </c>
      <c r="E4" s="30">
        <v>2</v>
      </c>
    </row>
    <row r="5" spans="1:6" x14ac:dyDescent="0.3">
      <c r="A5" s="28" t="s">
        <v>8</v>
      </c>
      <c r="B5" s="29">
        <v>4</v>
      </c>
      <c r="C5" s="29">
        <v>4</v>
      </c>
      <c r="D5" s="29">
        <v>4</v>
      </c>
      <c r="E5" s="30">
        <v>4</v>
      </c>
    </row>
    <row r="6" spans="1:6" x14ac:dyDescent="0.3">
      <c r="A6" s="31" t="s">
        <v>9</v>
      </c>
      <c r="B6" s="32">
        <v>1</v>
      </c>
      <c r="C6" s="32">
        <v>1</v>
      </c>
      <c r="D6" s="32">
        <v>1</v>
      </c>
      <c r="E6" s="33">
        <v>1</v>
      </c>
    </row>
    <row r="9" spans="1:6" ht="14.5" thickBot="1" x14ac:dyDescent="0.35"/>
    <row r="10" spans="1:6" x14ac:dyDescent="0.3">
      <c r="A10" s="8" t="s">
        <v>135</v>
      </c>
      <c r="B10" s="9" t="s">
        <v>1</v>
      </c>
      <c r="C10" s="9" t="s">
        <v>2</v>
      </c>
      <c r="D10" s="9" t="s">
        <v>3</v>
      </c>
      <c r="E10" s="58" t="s">
        <v>4</v>
      </c>
    </row>
    <row r="11" spans="1:6" x14ac:dyDescent="0.3">
      <c r="A11" s="10" t="s">
        <v>11</v>
      </c>
      <c r="B11" s="15">
        <v>8</v>
      </c>
      <c r="C11" s="15">
        <v>7</v>
      </c>
      <c r="D11" s="15">
        <v>7</v>
      </c>
      <c r="E11" s="69">
        <v>7</v>
      </c>
    </row>
    <row r="12" spans="1:6" x14ac:dyDescent="0.3">
      <c r="A12" s="10" t="s">
        <v>12</v>
      </c>
      <c r="B12" s="15">
        <v>16</v>
      </c>
      <c r="C12" s="15">
        <v>14</v>
      </c>
      <c r="D12" s="15">
        <v>14</v>
      </c>
      <c r="E12" s="69">
        <v>14</v>
      </c>
    </row>
    <row r="13" spans="1:6" x14ac:dyDescent="0.3">
      <c r="A13" s="10" t="s">
        <v>13</v>
      </c>
      <c r="B13" s="23">
        <v>2712.8</v>
      </c>
      <c r="C13" s="23">
        <v>2652.58</v>
      </c>
      <c r="D13" s="23">
        <v>2652.37</v>
      </c>
      <c r="E13" s="68">
        <v>2652.18</v>
      </c>
    </row>
    <row r="14" spans="1:6" x14ac:dyDescent="0.3">
      <c r="A14" s="10" t="s">
        <v>14</v>
      </c>
      <c r="B14" s="23">
        <f>B13*52/B11</f>
        <v>17633.2</v>
      </c>
      <c r="C14" s="23">
        <f t="shared" ref="C14:E14" si="0">C13*52/C11</f>
        <v>19704.88</v>
      </c>
      <c r="D14" s="23">
        <f t="shared" si="0"/>
        <v>19703.32</v>
      </c>
      <c r="E14" s="68">
        <f t="shared" si="0"/>
        <v>19701.908571428568</v>
      </c>
    </row>
    <row r="15" spans="1:6" x14ac:dyDescent="0.3">
      <c r="A15" s="10" t="s">
        <v>15</v>
      </c>
      <c r="B15" s="23">
        <f>B13*52</f>
        <v>141065.60000000001</v>
      </c>
      <c r="C15" s="23">
        <f t="shared" ref="C15:E15" si="1">C13*52</f>
        <v>137934.16</v>
      </c>
      <c r="D15" s="23">
        <f t="shared" si="1"/>
        <v>137923.24</v>
      </c>
      <c r="E15" s="68">
        <f t="shared" si="1"/>
        <v>137913.35999999999</v>
      </c>
      <c r="F15" s="173"/>
    </row>
    <row r="16" spans="1:6" ht="14.5" thickBot="1" x14ac:dyDescent="0.35">
      <c r="A16" s="114" t="s">
        <v>16</v>
      </c>
      <c r="B16" s="24">
        <v>1642</v>
      </c>
      <c r="C16" s="24">
        <v>1853</v>
      </c>
      <c r="D16" s="24">
        <v>1945</v>
      </c>
      <c r="E16" s="70">
        <v>2035</v>
      </c>
    </row>
    <row r="17" spans="1:6" x14ac:dyDescent="0.3">
      <c r="A17" s="112" t="s">
        <v>17</v>
      </c>
      <c r="B17" s="46">
        <v>4</v>
      </c>
      <c r="C17" s="140">
        <v>4</v>
      </c>
      <c r="D17" s="140">
        <v>3</v>
      </c>
      <c r="E17" s="141">
        <v>3</v>
      </c>
      <c r="F17" s="51"/>
    </row>
    <row r="18" spans="1:6" x14ac:dyDescent="0.3">
      <c r="A18" s="25" t="s">
        <v>18</v>
      </c>
      <c r="B18" s="15">
        <v>4</v>
      </c>
      <c r="C18" s="41">
        <v>4</v>
      </c>
      <c r="D18" s="41">
        <v>3</v>
      </c>
      <c r="E18" s="86">
        <v>3</v>
      </c>
      <c r="F18" s="93"/>
    </row>
    <row r="19" spans="1:6" x14ac:dyDescent="0.3">
      <c r="A19" s="78" t="s">
        <v>19</v>
      </c>
      <c r="B19" s="122">
        <f>B18/B17</f>
        <v>1</v>
      </c>
      <c r="C19" s="122">
        <f>C18/C17</f>
        <v>1</v>
      </c>
      <c r="D19" s="122">
        <f>D18/D17</f>
        <v>1</v>
      </c>
      <c r="E19" s="185">
        <f>E18/E17</f>
        <v>1</v>
      </c>
      <c r="F19" s="93"/>
    </row>
    <row r="20" spans="1:6" ht="14.5" thickBot="1" x14ac:dyDescent="0.35">
      <c r="A20" s="34" t="s">
        <v>20</v>
      </c>
      <c r="B20" s="24">
        <v>2</v>
      </c>
      <c r="C20" s="72">
        <v>2</v>
      </c>
      <c r="D20" s="72">
        <v>3</v>
      </c>
      <c r="E20" s="142">
        <v>3</v>
      </c>
      <c r="F20" s="51"/>
    </row>
    <row r="21" spans="1:6" x14ac:dyDescent="0.3">
      <c r="A21" s="112" t="s">
        <v>21</v>
      </c>
      <c r="B21" s="46">
        <v>0</v>
      </c>
      <c r="C21" s="140">
        <v>0</v>
      </c>
      <c r="D21" s="140">
        <v>0</v>
      </c>
      <c r="E21" s="141">
        <v>0</v>
      </c>
      <c r="F21" s="51"/>
    </row>
    <row r="22" spans="1:6" x14ac:dyDescent="0.3">
      <c r="A22" s="25" t="s">
        <v>136</v>
      </c>
      <c r="B22" s="15">
        <v>0</v>
      </c>
      <c r="C22" s="41">
        <v>0</v>
      </c>
      <c r="D22" s="41">
        <v>0</v>
      </c>
      <c r="E22" s="86">
        <v>0</v>
      </c>
      <c r="F22" s="93"/>
    </row>
    <row r="23" spans="1:6" x14ac:dyDescent="0.3">
      <c r="A23" s="25" t="s">
        <v>23</v>
      </c>
      <c r="B23" s="15">
        <v>1</v>
      </c>
      <c r="C23" s="41">
        <v>1</v>
      </c>
      <c r="D23" s="41">
        <v>1</v>
      </c>
      <c r="E23" s="86">
        <v>1</v>
      </c>
      <c r="F23" s="51"/>
    </row>
    <row r="24" spans="1:6" x14ac:dyDescent="0.3">
      <c r="A24" s="25" t="s">
        <v>24</v>
      </c>
      <c r="B24" s="15">
        <v>1</v>
      </c>
      <c r="C24" s="15">
        <v>0</v>
      </c>
      <c r="D24" s="15">
        <v>0</v>
      </c>
      <c r="E24" s="69">
        <v>0</v>
      </c>
      <c r="F24" s="51"/>
    </row>
    <row r="25" spans="1:6" ht="14.5" thickBot="1" x14ac:dyDescent="0.35">
      <c r="A25" s="34" t="s">
        <v>25</v>
      </c>
      <c r="B25" s="143">
        <f>(B24+B23+B21)/(B11-B26)</f>
        <v>0.25</v>
      </c>
      <c r="C25" s="143">
        <f t="shared" ref="C25:E25" si="2">(C24+C23+C21)/(C11-C26)</f>
        <v>0.14285714285714285</v>
      </c>
      <c r="D25" s="143">
        <f>(D24+D23+D21)/(D11-D26)</f>
        <v>0.14285714285714285</v>
      </c>
      <c r="E25" s="184">
        <f t="shared" si="2"/>
        <v>0.14285714285714285</v>
      </c>
      <c r="F25" s="51"/>
    </row>
    <row r="26" spans="1:6" ht="14.5" thickBot="1" x14ac:dyDescent="0.35">
      <c r="A26" s="115" t="s">
        <v>26</v>
      </c>
      <c r="B26" s="118">
        <v>0</v>
      </c>
      <c r="C26" s="118">
        <v>0</v>
      </c>
      <c r="D26" s="118">
        <v>0</v>
      </c>
      <c r="E26" s="119">
        <v>0</v>
      </c>
      <c r="F26" s="51"/>
    </row>
    <row r="27" spans="1:6" x14ac:dyDescent="0.3">
      <c r="A27" s="112" t="s">
        <v>27</v>
      </c>
      <c r="B27" s="46">
        <v>0</v>
      </c>
      <c r="C27" s="46">
        <v>1</v>
      </c>
      <c r="D27" s="46">
        <v>0</v>
      </c>
      <c r="E27" s="113">
        <v>0</v>
      </c>
    </row>
    <row r="28" spans="1:6" x14ac:dyDescent="0.3">
      <c r="A28" s="25" t="s">
        <v>28</v>
      </c>
      <c r="B28" s="15">
        <v>0</v>
      </c>
      <c r="C28" s="15">
        <v>0</v>
      </c>
      <c r="D28" s="15">
        <v>0</v>
      </c>
      <c r="E28" s="69">
        <v>0</v>
      </c>
    </row>
    <row r="29" spans="1:6" ht="14.5" thickBot="1" x14ac:dyDescent="0.35">
      <c r="A29" s="34" t="s">
        <v>29</v>
      </c>
      <c r="B29" s="24">
        <v>0</v>
      </c>
      <c r="C29" s="24">
        <v>1</v>
      </c>
      <c r="D29" s="24">
        <v>0</v>
      </c>
      <c r="E29" s="70">
        <v>0</v>
      </c>
    </row>
    <row r="32" spans="1:6" ht="14.5" thickBot="1" x14ac:dyDescent="0.35"/>
    <row r="33" spans="1:6" x14ac:dyDescent="0.3">
      <c r="A33" s="8" t="s">
        <v>30</v>
      </c>
      <c r="B33" s="9" t="s">
        <v>1</v>
      </c>
      <c r="C33" s="9" t="s">
        <v>2</v>
      </c>
      <c r="D33" s="9" t="s">
        <v>3</v>
      </c>
      <c r="E33" s="58" t="s">
        <v>4</v>
      </c>
    </row>
    <row r="34" spans="1:6" x14ac:dyDescent="0.3">
      <c r="A34" s="25" t="s">
        <v>11</v>
      </c>
      <c r="B34" s="15">
        <v>9</v>
      </c>
      <c r="C34" s="15">
        <v>9</v>
      </c>
      <c r="D34" s="15">
        <v>9</v>
      </c>
      <c r="E34" s="69">
        <v>10</v>
      </c>
    </row>
    <row r="35" spans="1:6" x14ac:dyDescent="0.3">
      <c r="A35" s="25" t="s">
        <v>13</v>
      </c>
      <c r="B35" s="23">
        <v>2039.58</v>
      </c>
      <c r="C35" s="23">
        <v>2039.26</v>
      </c>
      <c r="D35" s="23">
        <v>2038.94</v>
      </c>
      <c r="E35" s="68">
        <v>2578.7800000000002</v>
      </c>
    </row>
    <row r="36" spans="1:6" x14ac:dyDescent="0.3">
      <c r="A36" s="25" t="s">
        <v>14</v>
      </c>
      <c r="B36" s="23">
        <f>B35*52/B34</f>
        <v>11784.24</v>
      </c>
      <c r="C36" s="23">
        <f t="shared" ref="C36:E36" si="3">C35*52/C34</f>
        <v>11782.391111111112</v>
      </c>
      <c r="D36" s="23">
        <f t="shared" si="3"/>
        <v>11780.542222222222</v>
      </c>
      <c r="E36" s="68">
        <f t="shared" si="3"/>
        <v>13409.655999999999</v>
      </c>
    </row>
    <row r="37" spans="1:6" x14ac:dyDescent="0.3">
      <c r="A37" s="25" t="s">
        <v>15</v>
      </c>
      <c r="B37" s="23">
        <f>B35*52</f>
        <v>106058.16</v>
      </c>
      <c r="C37" s="23">
        <f t="shared" ref="C37:E37" si="4">C35*52</f>
        <v>106041.52</v>
      </c>
      <c r="D37" s="23">
        <f t="shared" si="4"/>
        <v>106024.88</v>
      </c>
      <c r="E37" s="68">
        <f t="shared" si="4"/>
        <v>134096.56</v>
      </c>
    </row>
    <row r="38" spans="1:6" ht="14.5" thickBot="1" x14ac:dyDescent="0.35">
      <c r="A38" s="34" t="s">
        <v>16</v>
      </c>
      <c r="B38" s="24">
        <v>2071</v>
      </c>
      <c r="C38" s="24">
        <v>2163</v>
      </c>
      <c r="D38" s="24">
        <v>2255</v>
      </c>
      <c r="E38" s="70">
        <v>2114</v>
      </c>
    </row>
    <row r="39" spans="1:6" x14ac:dyDescent="0.3">
      <c r="A39" s="112" t="s">
        <v>31</v>
      </c>
      <c r="B39" s="46">
        <v>7</v>
      </c>
      <c r="C39" s="46">
        <v>7</v>
      </c>
      <c r="D39" s="46">
        <v>7</v>
      </c>
      <c r="E39" s="113">
        <v>7</v>
      </c>
      <c r="F39" s="51"/>
    </row>
    <row r="40" spans="1:6" x14ac:dyDescent="0.3">
      <c r="A40" s="25" t="s">
        <v>32</v>
      </c>
      <c r="B40" s="15">
        <v>6</v>
      </c>
      <c r="C40" s="15">
        <v>6</v>
      </c>
      <c r="D40" s="15">
        <v>6</v>
      </c>
      <c r="E40" s="69">
        <v>6</v>
      </c>
    </row>
    <row r="41" spans="1:6" x14ac:dyDescent="0.3">
      <c r="A41" s="78" t="s">
        <v>19</v>
      </c>
      <c r="B41" s="122">
        <f>B40/B39</f>
        <v>0.8571428571428571</v>
      </c>
      <c r="C41" s="122">
        <f t="shared" ref="C41:E41" si="5">C40/C39</f>
        <v>0.8571428571428571</v>
      </c>
      <c r="D41" s="122">
        <f t="shared" si="5"/>
        <v>0.8571428571428571</v>
      </c>
      <c r="E41" s="185">
        <f t="shared" si="5"/>
        <v>0.8571428571428571</v>
      </c>
    </row>
    <row r="42" spans="1:6" ht="14.5" thickBot="1" x14ac:dyDescent="0.35">
      <c r="A42" s="34" t="s">
        <v>33</v>
      </c>
      <c r="B42" s="24">
        <v>0</v>
      </c>
      <c r="C42" s="81">
        <v>0</v>
      </c>
      <c r="D42" s="24">
        <v>0</v>
      </c>
      <c r="E42" s="70">
        <v>0</v>
      </c>
      <c r="F42" s="51"/>
    </row>
    <row r="43" spans="1:6" x14ac:dyDescent="0.3">
      <c r="A43" s="112" t="s">
        <v>34</v>
      </c>
      <c r="B43" s="46">
        <v>1</v>
      </c>
      <c r="C43" s="151">
        <v>1</v>
      </c>
      <c r="D43" s="46">
        <v>1</v>
      </c>
      <c r="E43" s="113">
        <v>1</v>
      </c>
      <c r="F43" s="51"/>
    </row>
    <row r="44" spans="1:6" x14ac:dyDescent="0.3">
      <c r="A44" s="25" t="s">
        <v>35</v>
      </c>
      <c r="B44" s="15">
        <v>0</v>
      </c>
      <c r="C44" s="36">
        <v>0</v>
      </c>
      <c r="D44" s="15">
        <v>0</v>
      </c>
      <c r="E44" s="69">
        <v>0</v>
      </c>
    </row>
    <row r="45" spans="1:6" x14ac:dyDescent="0.3">
      <c r="A45" s="25" t="s">
        <v>36</v>
      </c>
      <c r="B45" s="15">
        <v>0</v>
      </c>
      <c r="C45" s="36">
        <v>0</v>
      </c>
      <c r="D45" s="15">
        <v>0</v>
      </c>
      <c r="E45" s="69">
        <v>0</v>
      </c>
      <c r="F45" s="51"/>
    </row>
    <row r="46" spans="1:6" x14ac:dyDescent="0.3">
      <c r="A46" s="25" t="s">
        <v>37</v>
      </c>
      <c r="B46" s="15">
        <v>0</v>
      </c>
      <c r="C46" s="15">
        <v>0</v>
      </c>
      <c r="D46" s="15">
        <v>0</v>
      </c>
      <c r="E46" s="69">
        <v>0</v>
      </c>
      <c r="F46" s="51"/>
    </row>
    <row r="47" spans="1:6" ht="14.5" thickBot="1" x14ac:dyDescent="0.35">
      <c r="A47" s="34" t="s">
        <v>25</v>
      </c>
      <c r="B47" s="143">
        <f>(B46+B45+B43)/(B34-B48)</f>
        <v>0.125</v>
      </c>
      <c r="C47" s="143">
        <f t="shared" ref="C47:E47" si="6">(C46+C45+C43)/(C34-C48)</f>
        <v>0.125</v>
      </c>
      <c r="D47" s="143">
        <f t="shared" si="6"/>
        <v>0.125</v>
      </c>
      <c r="E47" s="184">
        <f t="shared" si="6"/>
        <v>0.125</v>
      </c>
      <c r="F47" s="51"/>
    </row>
    <row r="48" spans="1:6" ht="14.5" thickBot="1" x14ac:dyDescent="0.35">
      <c r="A48" s="115" t="s">
        <v>26</v>
      </c>
      <c r="B48" s="118">
        <v>1</v>
      </c>
      <c r="C48" s="153">
        <v>1</v>
      </c>
      <c r="D48" s="154">
        <v>1</v>
      </c>
      <c r="E48" s="155">
        <v>2</v>
      </c>
      <c r="F48" s="51"/>
    </row>
    <row r="49" spans="1:8" x14ac:dyDescent="0.3">
      <c r="A49" s="112" t="s">
        <v>27</v>
      </c>
      <c r="B49" s="46">
        <v>0</v>
      </c>
      <c r="C49" s="152">
        <v>4</v>
      </c>
      <c r="D49" s="102">
        <v>4</v>
      </c>
      <c r="E49" s="103">
        <v>4</v>
      </c>
    </row>
    <row r="50" spans="1:8" x14ac:dyDescent="0.3">
      <c r="A50" s="25" t="s">
        <v>28</v>
      </c>
      <c r="B50" s="15">
        <v>0</v>
      </c>
      <c r="C50" s="105">
        <v>0</v>
      </c>
      <c r="D50" s="27">
        <v>0</v>
      </c>
      <c r="E50" s="82">
        <v>1</v>
      </c>
    </row>
    <row r="51" spans="1:8" ht="14.5" thickBot="1" x14ac:dyDescent="0.35">
      <c r="A51" s="34" t="s">
        <v>29</v>
      </c>
      <c r="B51" s="91">
        <v>0</v>
      </c>
      <c r="C51" s="40">
        <v>0</v>
      </c>
      <c r="D51" s="40">
        <v>0</v>
      </c>
      <c r="E51" s="83">
        <v>0</v>
      </c>
    </row>
    <row r="52" spans="1:8" x14ac:dyDescent="0.3">
      <c r="A52" s="16"/>
      <c r="E52" s="37"/>
    </row>
    <row r="53" spans="1:8" x14ac:dyDescent="0.3">
      <c r="A53" s="16"/>
    </row>
    <row r="54" spans="1:8" ht="14.5" thickBot="1" x14ac:dyDescent="0.35"/>
    <row r="55" spans="1:8" x14ac:dyDescent="0.3">
      <c r="A55" s="8" t="s">
        <v>137</v>
      </c>
      <c r="B55" s="9" t="s">
        <v>1</v>
      </c>
      <c r="C55" s="9" t="s">
        <v>2</v>
      </c>
      <c r="D55" s="9" t="s">
        <v>3</v>
      </c>
      <c r="E55" s="58" t="s">
        <v>4</v>
      </c>
    </row>
    <row r="56" spans="1:8" x14ac:dyDescent="0.3">
      <c r="A56" s="25" t="s">
        <v>39</v>
      </c>
      <c r="B56" s="15">
        <v>10</v>
      </c>
      <c r="C56" s="15">
        <v>10</v>
      </c>
      <c r="D56" s="15">
        <v>10</v>
      </c>
      <c r="E56" s="69">
        <v>10</v>
      </c>
    </row>
    <row r="57" spans="1:8" x14ac:dyDescent="0.3">
      <c r="A57" s="25" t="s">
        <v>40</v>
      </c>
      <c r="B57" s="15">
        <v>0</v>
      </c>
      <c r="C57" s="15">
        <v>0</v>
      </c>
      <c r="D57" s="15">
        <v>0</v>
      </c>
      <c r="E57" s="69">
        <v>0</v>
      </c>
    </row>
    <row r="58" spans="1:8" x14ac:dyDescent="0.3">
      <c r="A58" s="25" t="s">
        <v>41</v>
      </c>
      <c r="B58" s="15">
        <v>3</v>
      </c>
      <c r="C58" s="15">
        <v>3</v>
      </c>
      <c r="D58" s="15">
        <v>2</v>
      </c>
      <c r="E58" s="69">
        <v>2</v>
      </c>
    </row>
    <row r="59" spans="1:8" ht="14.5" thickBot="1" x14ac:dyDescent="0.35">
      <c r="A59" s="34" t="s">
        <v>42</v>
      </c>
      <c r="B59" s="24">
        <v>7</v>
      </c>
      <c r="C59" s="24">
        <v>7</v>
      </c>
      <c r="D59" s="24">
        <v>8</v>
      </c>
      <c r="E59" s="70">
        <v>8</v>
      </c>
    </row>
    <row r="60" spans="1:8" x14ac:dyDescent="0.3">
      <c r="A60" s="112" t="s">
        <v>43</v>
      </c>
      <c r="B60" s="46">
        <v>7</v>
      </c>
      <c r="C60" s="46">
        <v>7</v>
      </c>
      <c r="D60" s="46">
        <v>7</v>
      </c>
      <c r="E60" s="113">
        <v>7</v>
      </c>
    </row>
    <row r="61" spans="1:8" x14ac:dyDescent="0.3">
      <c r="A61" s="25" t="s">
        <v>44</v>
      </c>
      <c r="B61" s="23">
        <v>1769.39</v>
      </c>
      <c r="C61" s="23">
        <v>1769.39</v>
      </c>
      <c r="D61" s="23">
        <v>1705.55</v>
      </c>
      <c r="E61" s="68">
        <v>1705.55</v>
      </c>
    </row>
    <row r="62" spans="1:8" x14ac:dyDescent="0.3">
      <c r="A62" s="25" t="s">
        <v>14</v>
      </c>
      <c r="B62" s="23">
        <f>B61/B60*52</f>
        <v>13144.04</v>
      </c>
      <c r="C62" s="23">
        <f t="shared" ref="C62:E62" si="7">C61/C60*52</f>
        <v>13144.04</v>
      </c>
      <c r="D62" s="23">
        <f t="shared" si="7"/>
        <v>12669.800000000001</v>
      </c>
      <c r="E62" s="68">
        <f t="shared" si="7"/>
        <v>12669.800000000001</v>
      </c>
    </row>
    <row r="63" spans="1:8" ht="14.5" thickBot="1" x14ac:dyDescent="0.35">
      <c r="A63" s="34" t="s">
        <v>15</v>
      </c>
      <c r="B63" s="120">
        <f>B61*52</f>
        <v>92008.28</v>
      </c>
      <c r="C63" s="120">
        <f t="shared" ref="C63:E63" si="8">C61*52</f>
        <v>92008.28</v>
      </c>
      <c r="D63" s="120">
        <f t="shared" si="8"/>
        <v>88688.599999999991</v>
      </c>
      <c r="E63" s="121">
        <f t="shared" si="8"/>
        <v>88688.599999999991</v>
      </c>
      <c r="H63" s="173"/>
    </row>
    <row r="64" spans="1:8" x14ac:dyDescent="0.3">
      <c r="A64" s="112" t="s">
        <v>45</v>
      </c>
      <c r="B64" s="46">
        <v>0</v>
      </c>
      <c r="C64" s="46">
        <v>0</v>
      </c>
      <c r="D64" s="46">
        <v>0</v>
      </c>
      <c r="E64" s="113">
        <v>0</v>
      </c>
    </row>
    <row r="65" spans="1:6" x14ac:dyDescent="0.3">
      <c r="A65" s="78" t="s">
        <v>46</v>
      </c>
      <c r="B65" s="15">
        <v>0</v>
      </c>
      <c r="C65" s="15">
        <v>0</v>
      </c>
      <c r="D65" s="15">
        <v>0</v>
      </c>
      <c r="E65" s="69">
        <v>0</v>
      </c>
    </row>
    <row r="66" spans="1:6" ht="14.5" thickBot="1" x14ac:dyDescent="0.35">
      <c r="A66" s="34" t="s">
        <v>47</v>
      </c>
      <c r="B66" s="24">
        <v>0</v>
      </c>
      <c r="C66" s="24">
        <v>0</v>
      </c>
      <c r="D66" s="24">
        <v>0</v>
      </c>
      <c r="E66" s="70">
        <v>0</v>
      </c>
    </row>
    <row r="67" spans="1:6" x14ac:dyDescent="0.3">
      <c r="A67" s="16"/>
      <c r="C67" s="17"/>
    </row>
    <row r="68" spans="1:6" x14ac:dyDescent="0.3">
      <c r="A68" s="16"/>
      <c r="C68" s="17"/>
    </row>
    <row r="69" spans="1:6" x14ac:dyDescent="0.3">
      <c r="A69" s="16"/>
      <c r="C69" s="17"/>
    </row>
    <row r="70" spans="1:6" x14ac:dyDescent="0.3">
      <c r="A70" s="16"/>
      <c r="C70" s="17"/>
    </row>
    <row r="71" spans="1:6" x14ac:dyDescent="0.3">
      <c r="A71" s="16"/>
      <c r="C71" s="17"/>
    </row>
    <row r="72" spans="1:6" x14ac:dyDescent="0.3">
      <c r="A72" s="16"/>
      <c r="C72" s="17"/>
    </row>
    <row r="73" spans="1:6" s="1" customFormat="1" ht="14.5" thickBot="1" x14ac:dyDescent="0.35">
      <c r="A73" s="11"/>
    </row>
    <row r="74" spans="1:6" s="1" customFormat="1" x14ac:dyDescent="0.3">
      <c r="A74" s="190" t="s">
        <v>48</v>
      </c>
      <c r="B74" s="73" t="s">
        <v>49</v>
      </c>
      <c r="C74" s="191" t="s">
        <v>50</v>
      </c>
    </row>
    <row r="75" spans="1:6" s="1" customFormat="1" x14ac:dyDescent="0.3">
      <c r="A75" s="10" t="s">
        <v>51</v>
      </c>
      <c r="B75" s="123">
        <v>0</v>
      </c>
      <c r="C75" s="171">
        <f>B75/1</f>
        <v>0</v>
      </c>
    </row>
    <row r="76" spans="1:6" s="1" customFormat="1" x14ac:dyDescent="0.3">
      <c r="A76" s="10" t="s">
        <v>52</v>
      </c>
      <c r="B76" s="123">
        <v>0</v>
      </c>
      <c r="C76" s="171">
        <f t="shared" ref="C76:C81" si="9">B76/1</f>
        <v>0</v>
      </c>
    </row>
    <row r="77" spans="1:6" s="1" customFormat="1" x14ac:dyDescent="0.3">
      <c r="A77" s="10" t="s">
        <v>53</v>
      </c>
      <c r="B77" s="123">
        <v>0</v>
      </c>
      <c r="C77" s="171">
        <f t="shared" si="9"/>
        <v>0</v>
      </c>
    </row>
    <row r="78" spans="1:6" s="1" customFormat="1" x14ac:dyDescent="0.3">
      <c r="A78" s="10" t="s">
        <v>54</v>
      </c>
      <c r="B78" s="123">
        <v>0</v>
      </c>
      <c r="C78" s="171">
        <f t="shared" si="9"/>
        <v>0</v>
      </c>
    </row>
    <row r="79" spans="1:6" s="1" customFormat="1" x14ac:dyDescent="0.3">
      <c r="A79" s="10" t="s">
        <v>55</v>
      </c>
      <c r="B79" s="123">
        <v>1</v>
      </c>
      <c r="C79" s="171">
        <f t="shared" si="9"/>
        <v>1</v>
      </c>
      <c r="F79" s="84"/>
    </row>
    <row r="80" spans="1:6" s="1" customFormat="1" x14ac:dyDescent="0.3">
      <c r="A80" s="10" t="s">
        <v>56</v>
      </c>
      <c r="B80" s="123">
        <v>0</v>
      </c>
      <c r="C80" s="171">
        <f t="shared" si="9"/>
        <v>0</v>
      </c>
    </row>
    <row r="81" spans="1:4" s="1" customFormat="1" x14ac:dyDescent="0.3">
      <c r="A81" s="10" t="s">
        <v>57</v>
      </c>
      <c r="B81" s="123">
        <v>0</v>
      </c>
      <c r="C81" s="171">
        <f t="shared" si="9"/>
        <v>0</v>
      </c>
    </row>
    <row r="82" spans="1:4" s="1" customFormat="1" ht="14.5" thickBot="1" x14ac:dyDescent="0.35">
      <c r="A82" s="192" t="s">
        <v>49</v>
      </c>
      <c r="B82" s="193">
        <f>SUM(B75:B81)</f>
        <v>1</v>
      </c>
      <c r="C82" s="194">
        <f>SUM(C75:C81)</f>
        <v>1</v>
      </c>
    </row>
    <row r="83" spans="1:4" s="1" customFormat="1" x14ac:dyDescent="0.3">
      <c r="A83" s="174"/>
      <c r="B83" s="174"/>
      <c r="C83" s="175"/>
      <c r="D83" s="174"/>
    </row>
    <row r="84" spans="1:4" s="1" customFormat="1" ht="14.5" thickBot="1" x14ac:dyDescent="0.35">
      <c r="A84" s="174"/>
      <c r="B84" s="174"/>
      <c r="C84" s="175"/>
      <c r="D84" s="174"/>
    </row>
    <row r="85" spans="1:4" s="1" customFormat="1" ht="14.25" customHeight="1" x14ac:dyDescent="0.3">
      <c r="A85" s="238" t="s">
        <v>58</v>
      </c>
      <c r="B85" s="239" t="s">
        <v>49</v>
      </c>
      <c r="C85" s="240" t="s">
        <v>50</v>
      </c>
      <c r="D85" s="80"/>
    </row>
    <row r="86" spans="1:4" s="1" customFormat="1" ht="14.25" customHeight="1" x14ac:dyDescent="0.3">
      <c r="A86" s="195" t="s">
        <v>59</v>
      </c>
      <c r="B86" s="124">
        <v>0</v>
      </c>
      <c r="C86" s="196">
        <f t="shared" ref="C86:C89" si="10">B86/1</f>
        <v>0</v>
      </c>
      <c r="D86" s="80"/>
    </row>
    <row r="87" spans="1:4" s="1" customFormat="1" ht="14.25" customHeight="1" x14ac:dyDescent="0.3">
      <c r="A87" s="195" t="s">
        <v>60</v>
      </c>
      <c r="B87" s="124">
        <v>0</v>
      </c>
      <c r="C87" s="196">
        <f t="shared" si="10"/>
        <v>0</v>
      </c>
      <c r="D87" s="80"/>
    </row>
    <row r="88" spans="1:4" s="1" customFormat="1" ht="14.25" customHeight="1" x14ac:dyDescent="0.3">
      <c r="A88" s="195" t="s">
        <v>61</v>
      </c>
      <c r="B88" s="124">
        <v>0</v>
      </c>
      <c r="C88" s="196">
        <f t="shared" si="10"/>
        <v>0</v>
      </c>
      <c r="D88" s="80"/>
    </row>
    <row r="89" spans="1:4" s="1" customFormat="1" ht="14.25" customHeight="1" x14ac:dyDescent="0.3">
      <c r="A89" s="195" t="s">
        <v>62</v>
      </c>
      <c r="B89" s="124">
        <v>0</v>
      </c>
      <c r="C89" s="196">
        <f t="shared" si="10"/>
        <v>0</v>
      </c>
      <c r="D89" s="80"/>
    </row>
    <row r="90" spans="1:4" s="1" customFormat="1" ht="14.25" customHeight="1" x14ac:dyDescent="0.3">
      <c r="A90" s="195" t="s">
        <v>63</v>
      </c>
      <c r="B90" s="124">
        <v>0</v>
      </c>
      <c r="C90" s="196">
        <f>B90/1</f>
        <v>0</v>
      </c>
      <c r="D90" s="80"/>
    </row>
    <row r="91" spans="1:4" s="1" customFormat="1" ht="14.5" thickBot="1" x14ac:dyDescent="0.35">
      <c r="A91" s="197" t="s">
        <v>49</v>
      </c>
      <c r="B91" s="198">
        <f>SUM(B86:B90)</f>
        <v>0</v>
      </c>
      <c r="C91" s="218">
        <f>SUM(C86:C90)</f>
        <v>0</v>
      </c>
      <c r="D91" s="17"/>
    </row>
    <row r="92" spans="1:4" s="1" customFormat="1" x14ac:dyDescent="0.3">
      <c r="A92" s="137"/>
      <c r="B92" s="138"/>
      <c r="C92" s="139"/>
      <c r="D92" s="17"/>
    </row>
    <row r="93" spans="1:4" s="1" customFormat="1" x14ac:dyDescent="0.3">
      <c r="A93" s="137"/>
      <c r="B93" s="138"/>
      <c r="C93" s="139"/>
      <c r="D93" s="17"/>
    </row>
    <row r="94" spans="1:4" s="1" customFormat="1" ht="14.5" thickBot="1" x14ac:dyDescent="0.35">
      <c r="A94" s="13"/>
      <c r="D94" s="2"/>
    </row>
    <row r="95" spans="1:4" s="1" customFormat="1" x14ac:dyDescent="0.3">
      <c r="A95" s="201" t="s">
        <v>64</v>
      </c>
      <c r="B95" s="202" t="s">
        <v>49</v>
      </c>
      <c r="C95" s="203" t="s">
        <v>50</v>
      </c>
      <c r="D95" s="2"/>
    </row>
    <row r="96" spans="1:4" s="1" customFormat="1" x14ac:dyDescent="0.3">
      <c r="A96" s="10" t="s">
        <v>51</v>
      </c>
      <c r="B96" s="125">
        <v>0</v>
      </c>
      <c r="C96" s="196">
        <f t="shared" ref="C96:C102" si="11">B96/1</f>
        <v>0</v>
      </c>
      <c r="D96" s="2"/>
    </row>
    <row r="97" spans="1:4" s="1" customFormat="1" x14ac:dyDescent="0.3">
      <c r="A97" s="204" t="s">
        <v>52</v>
      </c>
      <c r="B97" s="125">
        <v>0</v>
      </c>
      <c r="C97" s="196">
        <f t="shared" si="11"/>
        <v>0</v>
      </c>
      <c r="D97" s="2"/>
    </row>
    <row r="98" spans="1:4" s="1" customFormat="1" x14ac:dyDescent="0.3">
      <c r="A98" s="204" t="s">
        <v>53</v>
      </c>
      <c r="B98" s="125">
        <v>0</v>
      </c>
      <c r="C98" s="196">
        <f t="shared" si="11"/>
        <v>0</v>
      </c>
      <c r="D98" s="2"/>
    </row>
    <row r="99" spans="1:4" s="1" customFormat="1" x14ac:dyDescent="0.3">
      <c r="A99" s="204" t="s">
        <v>54</v>
      </c>
      <c r="B99" s="125">
        <v>0</v>
      </c>
      <c r="C99" s="196">
        <f t="shared" si="11"/>
        <v>0</v>
      </c>
      <c r="D99" s="2"/>
    </row>
    <row r="100" spans="1:4" s="1" customFormat="1" x14ac:dyDescent="0.3">
      <c r="A100" s="204" t="s">
        <v>55</v>
      </c>
      <c r="B100" s="125">
        <v>0</v>
      </c>
      <c r="C100" s="196">
        <f t="shared" si="11"/>
        <v>0</v>
      </c>
      <c r="D100" s="2"/>
    </row>
    <row r="101" spans="1:4" s="1" customFormat="1" x14ac:dyDescent="0.3">
      <c r="A101" s="204" t="s">
        <v>56</v>
      </c>
      <c r="B101" s="125">
        <v>0</v>
      </c>
      <c r="C101" s="196">
        <f t="shared" si="11"/>
        <v>0</v>
      </c>
      <c r="D101" s="2"/>
    </row>
    <row r="102" spans="1:4" s="1" customFormat="1" ht="14.5" thickBot="1" x14ac:dyDescent="0.35">
      <c r="A102" s="223" t="s">
        <v>57</v>
      </c>
      <c r="B102" s="224">
        <v>0</v>
      </c>
      <c r="C102" s="225">
        <f t="shared" si="11"/>
        <v>0</v>
      </c>
      <c r="D102" s="2"/>
    </row>
    <row r="103" spans="1:4" s="1" customFormat="1" x14ac:dyDescent="0.3">
      <c r="A103" s="127" t="s">
        <v>49</v>
      </c>
      <c r="B103" s="128">
        <f>SUM(B96:B102)</f>
        <v>0</v>
      </c>
      <c r="C103" s="222">
        <f>SUM(C96:C102)</f>
        <v>0</v>
      </c>
      <c r="D103" s="2"/>
    </row>
    <row r="104" spans="1:4" s="1" customFormat="1" ht="14.5" thickBot="1" x14ac:dyDescent="0.35">
      <c r="D104" s="2"/>
    </row>
    <row r="105" spans="1:4" s="1" customFormat="1" x14ac:dyDescent="0.3">
      <c r="A105" s="235" t="s">
        <v>65</v>
      </c>
      <c r="B105" s="236" t="s">
        <v>49</v>
      </c>
      <c r="C105" s="237" t="s">
        <v>50</v>
      </c>
      <c r="D105" s="2"/>
    </row>
    <row r="106" spans="1:4" s="1" customFormat="1" x14ac:dyDescent="0.3">
      <c r="A106" s="210" t="s">
        <v>59</v>
      </c>
      <c r="B106" s="130">
        <v>0</v>
      </c>
      <c r="C106" s="196">
        <f t="shared" ref="C106:C110" si="12">B106/1</f>
        <v>0</v>
      </c>
      <c r="D106" s="2"/>
    </row>
    <row r="107" spans="1:4" s="1" customFormat="1" x14ac:dyDescent="0.3">
      <c r="A107" s="212" t="s">
        <v>60</v>
      </c>
      <c r="B107" s="130">
        <v>0</v>
      </c>
      <c r="C107" s="196">
        <f t="shared" si="12"/>
        <v>0</v>
      </c>
      <c r="D107" s="2"/>
    </row>
    <row r="108" spans="1:4" s="1" customFormat="1" x14ac:dyDescent="0.3">
      <c r="A108" s="212" t="s">
        <v>61</v>
      </c>
      <c r="B108" s="130">
        <v>0</v>
      </c>
      <c r="C108" s="196">
        <f t="shared" si="12"/>
        <v>0</v>
      </c>
      <c r="D108" s="2"/>
    </row>
    <row r="109" spans="1:4" s="1" customFormat="1" x14ac:dyDescent="0.3">
      <c r="A109" s="212" t="s">
        <v>62</v>
      </c>
      <c r="B109" s="130">
        <v>0</v>
      </c>
      <c r="C109" s="196">
        <f t="shared" si="12"/>
        <v>0</v>
      </c>
      <c r="D109" s="2"/>
    </row>
    <row r="110" spans="1:4" s="1" customFormat="1" x14ac:dyDescent="0.3">
      <c r="A110" s="212" t="s">
        <v>63</v>
      </c>
      <c r="B110" s="130">
        <v>0</v>
      </c>
      <c r="C110" s="196">
        <f t="shared" si="12"/>
        <v>0</v>
      </c>
      <c r="D110" s="2"/>
    </row>
    <row r="111" spans="1:4" s="1" customFormat="1" ht="14.5" thickBot="1" x14ac:dyDescent="0.35">
      <c r="A111" s="214" t="s">
        <v>49</v>
      </c>
      <c r="B111" s="206">
        <f>SUM(B106:B110)</f>
        <v>0</v>
      </c>
      <c r="C111" s="215">
        <f>SUM(C106:C110)</f>
        <v>0</v>
      </c>
      <c r="D111" s="2"/>
    </row>
    <row r="112" spans="1:4" s="1" customFormat="1" x14ac:dyDescent="0.3">
      <c r="A112" s="13"/>
      <c r="D112" s="2"/>
    </row>
    <row r="113" spans="1:8" x14ac:dyDescent="0.3">
      <c r="A113" s="16"/>
    </row>
    <row r="114" spans="1:8" ht="14.5" thickBot="1" x14ac:dyDescent="0.35">
      <c r="A114" s="16"/>
    </row>
    <row r="115" spans="1:8" x14ac:dyDescent="0.3">
      <c r="A115" s="49" t="s">
        <v>67</v>
      </c>
      <c r="B115" s="73" t="s">
        <v>68</v>
      </c>
      <c r="C115" s="9" t="s">
        <v>49</v>
      </c>
      <c r="D115" s="58" t="s">
        <v>50</v>
      </c>
      <c r="E115" s="44"/>
      <c r="F115" s="163" t="s">
        <v>69</v>
      </c>
      <c r="G115" s="9" t="s">
        <v>114</v>
      </c>
      <c r="H115" s="58" t="s">
        <v>50</v>
      </c>
    </row>
    <row r="116" spans="1:8" x14ac:dyDescent="0.3">
      <c r="A116" s="25" t="s">
        <v>138</v>
      </c>
      <c r="B116" s="15" t="s">
        <v>81</v>
      </c>
      <c r="C116" s="15">
        <v>1</v>
      </c>
      <c r="D116" s="162">
        <f>C116/7</f>
        <v>0.14285714285714285</v>
      </c>
      <c r="E116" s="45"/>
      <c r="F116" s="25" t="s">
        <v>72</v>
      </c>
      <c r="G116" s="15">
        <v>2</v>
      </c>
      <c r="H116" s="162">
        <f t="shared" ref="H116:H119" si="13">G116/7</f>
        <v>0.2857142857142857</v>
      </c>
    </row>
    <row r="117" spans="1:8" x14ac:dyDescent="0.3">
      <c r="A117" s="25" t="s">
        <v>73</v>
      </c>
      <c r="B117" s="15" t="s">
        <v>72</v>
      </c>
      <c r="C117" s="15">
        <v>2</v>
      </c>
      <c r="D117" s="162">
        <f t="shared" ref="D117:D120" si="14">C117/7</f>
        <v>0.2857142857142857</v>
      </c>
      <c r="E117" s="45"/>
      <c r="F117" s="101" t="s">
        <v>76</v>
      </c>
      <c r="G117" s="15">
        <v>1</v>
      </c>
      <c r="H117" s="162">
        <f t="shared" si="13"/>
        <v>0.14285714285714285</v>
      </c>
    </row>
    <row r="118" spans="1:8" x14ac:dyDescent="0.3">
      <c r="A118" s="25" t="s">
        <v>100</v>
      </c>
      <c r="B118" s="15" t="s">
        <v>79</v>
      </c>
      <c r="C118" s="15">
        <v>1</v>
      </c>
      <c r="D118" s="162">
        <f t="shared" si="14"/>
        <v>0.14285714285714285</v>
      </c>
      <c r="E118" s="45"/>
      <c r="F118" s="25" t="s">
        <v>79</v>
      </c>
      <c r="G118" s="15">
        <v>3</v>
      </c>
      <c r="H118" s="162">
        <f t="shared" si="13"/>
        <v>0.42857142857142855</v>
      </c>
    </row>
    <row r="119" spans="1:8" ht="14.5" thickBot="1" x14ac:dyDescent="0.35">
      <c r="A119" s="25" t="s">
        <v>102</v>
      </c>
      <c r="B119" s="15" t="s">
        <v>79</v>
      </c>
      <c r="C119" s="15">
        <v>2</v>
      </c>
      <c r="D119" s="162">
        <f t="shared" si="14"/>
        <v>0.2857142857142857</v>
      </c>
      <c r="E119" s="45"/>
      <c r="F119" s="34" t="s">
        <v>81</v>
      </c>
      <c r="G119" s="24">
        <v>1</v>
      </c>
      <c r="H119" s="184">
        <f t="shared" si="13"/>
        <v>0.14285714285714285</v>
      </c>
    </row>
    <row r="120" spans="1:8" ht="14.5" thickBot="1" x14ac:dyDescent="0.35">
      <c r="A120" s="34" t="s">
        <v>93</v>
      </c>
      <c r="B120" s="24" t="s">
        <v>76</v>
      </c>
      <c r="C120" s="106">
        <v>1</v>
      </c>
      <c r="D120" s="184">
        <f t="shared" si="14"/>
        <v>0.14285714285714285</v>
      </c>
      <c r="E120" s="45"/>
    </row>
    <row r="121" spans="1:8" x14ac:dyDescent="0.3">
      <c r="A121" s="37"/>
      <c r="B121" s="37"/>
      <c r="C121" s="172"/>
      <c r="D121" s="186"/>
      <c r="E121" s="45"/>
    </row>
    <row r="122" spans="1:8" x14ac:dyDescent="0.3">
      <c r="A122" s="37"/>
      <c r="B122" s="37"/>
      <c r="C122" s="172"/>
      <c r="D122" s="186"/>
      <c r="E122" s="45"/>
    </row>
    <row r="123" spans="1:8" x14ac:dyDescent="0.3">
      <c r="A123" s="37"/>
      <c r="B123" s="37"/>
      <c r="C123" s="172"/>
      <c r="D123" s="186"/>
      <c r="E123" s="45"/>
    </row>
    <row r="124" spans="1:8" x14ac:dyDescent="0.3">
      <c r="A124" s="37"/>
      <c r="B124" s="37"/>
      <c r="C124" s="172"/>
      <c r="D124" s="186"/>
      <c r="E124" s="45"/>
    </row>
    <row r="125" spans="1:8" x14ac:dyDescent="0.3">
      <c r="A125" s="37"/>
      <c r="B125" s="37"/>
      <c r="C125" s="172"/>
      <c r="D125" s="186"/>
      <c r="E125" s="45"/>
    </row>
    <row r="126" spans="1:8" x14ac:dyDescent="0.3">
      <c r="A126" s="37"/>
      <c r="B126" s="37"/>
      <c r="C126" s="172"/>
      <c r="D126" s="186"/>
      <c r="E126" s="45"/>
    </row>
    <row r="127" spans="1:8" x14ac:dyDescent="0.3">
      <c r="A127" s="37"/>
      <c r="B127" s="37"/>
      <c r="C127" s="172"/>
      <c r="D127" s="186"/>
      <c r="E127" s="45"/>
    </row>
    <row r="128" spans="1:8" x14ac:dyDescent="0.3">
      <c r="A128" s="37"/>
      <c r="B128" s="37"/>
      <c r="C128" s="172"/>
      <c r="D128" s="186"/>
      <c r="E128" s="45"/>
    </row>
    <row r="129" spans="1:8" x14ac:dyDescent="0.3">
      <c r="A129" s="37"/>
      <c r="B129" s="37"/>
      <c r="C129" s="172"/>
      <c r="D129" s="186"/>
      <c r="E129" s="45"/>
    </row>
    <row r="130" spans="1:8" x14ac:dyDescent="0.3">
      <c r="A130" s="37"/>
      <c r="B130" s="37"/>
      <c r="C130" s="172"/>
      <c r="D130" s="186"/>
      <c r="E130" s="45"/>
    </row>
    <row r="131" spans="1:8" x14ac:dyDescent="0.3">
      <c r="A131" s="37"/>
      <c r="B131" s="37"/>
      <c r="C131" s="172"/>
      <c r="D131" s="186"/>
      <c r="E131" s="45"/>
    </row>
    <row r="132" spans="1:8" x14ac:dyDescent="0.3">
      <c r="A132" s="37"/>
      <c r="B132" s="37"/>
      <c r="C132" s="172"/>
      <c r="D132" s="186"/>
      <c r="E132" s="45"/>
    </row>
    <row r="133" spans="1:8" x14ac:dyDescent="0.3">
      <c r="A133" s="37"/>
      <c r="B133" s="37"/>
      <c r="C133" s="172"/>
      <c r="D133" s="186"/>
      <c r="E133" s="45"/>
    </row>
    <row r="134" spans="1:8" x14ac:dyDescent="0.3">
      <c r="A134" s="37"/>
      <c r="B134" s="37"/>
      <c r="C134" s="172"/>
      <c r="D134" s="186"/>
      <c r="E134" s="45"/>
    </row>
    <row r="135" spans="1:8" x14ac:dyDescent="0.3">
      <c r="A135" s="45"/>
      <c r="B135" s="45"/>
      <c r="C135" s="170"/>
      <c r="D135" s="45"/>
      <c r="E135" s="45"/>
    </row>
    <row r="136" spans="1:8" x14ac:dyDescent="0.3">
      <c r="A136" s="45"/>
      <c r="B136" s="45"/>
      <c r="C136" s="170"/>
      <c r="D136" s="45"/>
    </row>
    <row r="137" spans="1:8" x14ac:dyDescent="0.3">
      <c r="A137" s="45"/>
      <c r="B137" s="45"/>
      <c r="C137" s="170"/>
      <c r="D137" s="45"/>
    </row>
    <row r="138" spans="1:8" x14ac:dyDescent="0.3">
      <c r="A138" s="45"/>
      <c r="B138" s="45"/>
      <c r="C138" s="170"/>
      <c r="D138" s="45"/>
    </row>
    <row r="139" spans="1:8" x14ac:dyDescent="0.3">
      <c r="A139" s="45"/>
      <c r="B139" s="45"/>
      <c r="C139" s="170"/>
      <c r="D139" s="45"/>
    </row>
    <row r="140" spans="1:8" x14ac:dyDescent="0.3">
      <c r="A140" s="45"/>
      <c r="B140" s="45"/>
      <c r="C140" s="170"/>
      <c r="D140" s="45"/>
    </row>
    <row r="141" spans="1:8" x14ac:dyDescent="0.3">
      <c r="A141" s="45"/>
      <c r="B141" s="45"/>
      <c r="C141" s="170"/>
      <c r="D141" s="45"/>
    </row>
    <row r="142" spans="1:8" ht="14.5" thickBot="1" x14ac:dyDescent="0.35">
      <c r="A142" s="45"/>
      <c r="B142" s="45"/>
      <c r="C142" s="170"/>
      <c r="D142" s="45"/>
    </row>
    <row r="143" spans="1:8" x14ac:dyDescent="0.3">
      <c r="A143" s="8" t="s">
        <v>112</v>
      </c>
      <c r="B143" s="73" t="s">
        <v>68</v>
      </c>
      <c r="C143" s="9" t="s">
        <v>49</v>
      </c>
      <c r="D143" s="58" t="s">
        <v>50</v>
      </c>
      <c r="F143" s="163" t="s">
        <v>113</v>
      </c>
      <c r="G143" s="9" t="s">
        <v>114</v>
      </c>
      <c r="H143" s="58" t="s">
        <v>50</v>
      </c>
    </row>
    <row r="144" spans="1:8" x14ac:dyDescent="0.3">
      <c r="A144" s="25" t="s">
        <v>86</v>
      </c>
      <c r="B144" s="15" t="s">
        <v>76</v>
      </c>
      <c r="C144" s="15">
        <v>1</v>
      </c>
      <c r="D144" s="162">
        <f>C144/8</f>
        <v>0.125</v>
      </c>
      <c r="F144" s="25" t="s">
        <v>72</v>
      </c>
      <c r="G144" s="15">
        <v>7</v>
      </c>
      <c r="H144" s="162">
        <v>0.87</v>
      </c>
    </row>
    <row r="145" spans="1:8" ht="14.5" thickBot="1" x14ac:dyDescent="0.35">
      <c r="A145" s="25" t="s">
        <v>71</v>
      </c>
      <c r="B145" s="15" t="s">
        <v>72</v>
      </c>
      <c r="C145" s="15">
        <v>5</v>
      </c>
      <c r="D145" s="162">
        <f t="shared" ref="D145:D146" si="15">C145/8</f>
        <v>0.625</v>
      </c>
      <c r="E145" s="44"/>
      <c r="F145" s="226" t="s">
        <v>76</v>
      </c>
      <c r="G145" s="24">
        <v>1</v>
      </c>
      <c r="H145" s="184">
        <v>0.13</v>
      </c>
    </row>
    <row r="146" spans="1:8" x14ac:dyDescent="0.3">
      <c r="A146" s="25" t="s">
        <v>75</v>
      </c>
      <c r="B146" s="15" t="s">
        <v>72</v>
      </c>
      <c r="C146" s="15">
        <v>2</v>
      </c>
      <c r="D146" s="162">
        <f t="shared" si="15"/>
        <v>0.25</v>
      </c>
      <c r="E146" s="45"/>
      <c r="F146" s="37"/>
      <c r="H146" s="17"/>
    </row>
    <row r="147" spans="1:8" ht="14.5" thickBot="1" x14ac:dyDescent="0.35">
      <c r="A147" s="34" t="s">
        <v>109</v>
      </c>
      <c r="B147" s="34" t="s">
        <v>125</v>
      </c>
      <c r="C147" s="24">
        <v>2</v>
      </c>
      <c r="D147" s="169" t="s">
        <v>111</v>
      </c>
      <c r="E147" s="45"/>
      <c r="H147" s="17"/>
    </row>
    <row r="148" spans="1:8" x14ac:dyDescent="0.3">
      <c r="A148" s="37"/>
      <c r="B148" s="37"/>
      <c r="C148" s="37"/>
      <c r="D148" s="219"/>
      <c r="E148" s="45"/>
      <c r="H148" s="17"/>
    </row>
    <row r="149" spans="1:8" x14ac:dyDescent="0.3">
      <c r="A149" s="37"/>
      <c r="B149" s="37"/>
      <c r="C149" s="37"/>
      <c r="D149" s="219"/>
      <c r="E149" s="45"/>
      <c r="H149" s="17"/>
    </row>
    <row r="150" spans="1:8" x14ac:dyDescent="0.3">
      <c r="A150" s="37"/>
      <c r="B150" s="37"/>
      <c r="C150" s="37"/>
      <c r="D150" s="219"/>
      <c r="E150" s="45"/>
      <c r="H150" s="17"/>
    </row>
    <row r="151" spans="1:8" x14ac:dyDescent="0.3">
      <c r="A151" s="37"/>
      <c r="B151" s="37"/>
      <c r="C151" s="37"/>
      <c r="D151" s="219"/>
      <c r="E151" s="45"/>
      <c r="H151" s="17"/>
    </row>
    <row r="152" spans="1:8" x14ac:dyDescent="0.3">
      <c r="A152" s="37"/>
      <c r="B152" s="37"/>
      <c r="C152" s="37"/>
      <c r="D152" s="219"/>
      <c r="E152" s="45"/>
      <c r="H152" s="17"/>
    </row>
    <row r="153" spans="1:8" x14ac:dyDescent="0.3">
      <c r="A153" s="37"/>
      <c r="B153" s="37"/>
      <c r="C153" s="37"/>
      <c r="D153" s="219"/>
      <c r="E153" s="45"/>
      <c r="H153" s="17"/>
    </row>
    <row r="154" spans="1:8" x14ac:dyDescent="0.3">
      <c r="A154" s="37"/>
      <c r="B154" s="37"/>
      <c r="C154" s="37"/>
      <c r="D154" s="219"/>
      <c r="E154" s="45"/>
      <c r="H154" s="17"/>
    </row>
    <row r="155" spans="1:8" x14ac:dyDescent="0.3">
      <c r="A155" s="37"/>
      <c r="B155" s="37"/>
      <c r="C155" s="37"/>
      <c r="D155" s="219"/>
      <c r="E155" s="45"/>
      <c r="H155" s="17"/>
    </row>
    <row r="156" spans="1:8" x14ac:dyDescent="0.3">
      <c r="A156" s="37"/>
      <c r="B156" s="37"/>
      <c r="C156" s="37"/>
      <c r="D156" s="219"/>
      <c r="E156" s="45"/>
      <c r="H156" s="17"/>
    </row>
    <row r="157" spans="1:8" x14ac:dyDescent="0.3">
      <c r="C157" s="17"/>
      <c r="E157" s="45"/>
      <c r="H157" s="17"/>
    </row>
    <row r="158" spans="1:8" x14ac:dyDescent="0.3">
      <c r="C158" s="17"/>
      <c r="E158" s="45"/>
      <c r="H158" s="17"/>
    </row>
    <row r="159" spans="1:8" x14ac:dyDescent="0.3">
      <c r="C159" s="17"/>
      <c r="E159" s="45"/>
      <c r="H159" s="17"/>
    </row>
    <row r="160" spans="1:8" x14ac:dyDescent="0.3">
      <c r="C160" s="17"/>
      <c r="E160" s="45"/>
      <c r="H160" s="17"/>
    </row>
    <row r="161" spans="1:8" x14ac:dyDescent="0.3">
      <c r="C161" s="17"/>
      <c r="E161" s="45"/>
      <c r="H161" s="17"/>
    </row>
    <row r="162" spans="1:8" x14ac:dyDescent="0.3">
      <c r="C162" s="17"/>
      <c r="E162" s="45"/>
      <c r="H162" s="17"/>
    </row>
    <row r="163" spans="1:8" x14ac:dyDescent="0.3">
      <c r="C163" s="17"/>
      <c r="E163" s="45"/>
      <c r="H163" s="17"/>
    </row>
    <row r="164" spans="1:8" x14ac:dyDescent="0.3">
      <c r="C164" s="17"/>
      <c r="E164" s="45"/>
      <c r="H164" s="17"/>
    </row>
    <row r="165" spans="1:8" x14ac:dyDescent="0.3">
      <c r="C165" s="17"/>
      <c r="E165" s="45"/>
      <c r="H165" s="17"/>
    </row>
    <row r="166" spans="1:8" x14ac:dyDescent="0.3">
      <c r="C166" s="17"/>
      <c r="E166" s="45"/>
      <c r="H166" s="17"/>
    </row>
    <row r="167" spans="1:8" ht="14.5" thickBot="1" x14ac:dyDescent="0.35">
      <c r="C167" s="17"/>
      <c r="E167" s="45"/>
      <c r="F167" s="14"/>
    </row>
    <row r="168" spans="1:8" x14ac:dyDescent="0.3">
      <c r="A168" s="163" t="s">
        <v>119</v>
      </c>
      <c r="B168" s="190" t="s">
        <v>68</v>
      </c>
      <c r="C168" s="9" t="s">
        <v>49</v>
      </c>
      <c r="D168" s="58" t="s">
        <v>50</v>
      </c>
      <c r="E168" s="45"/>
      <c r="F168" s="163" t="s">
        <v>120</v>
      </c>
      <c r="G168" s="9" t="s">
        <v>114</v>
      </c>
      <c r="H168" s="58" t="s">
        <v>50</v>
      </c>
    </row>
    <row r="169" spans="1:8" x14ac:dyDescent="0.3">
      <c r="A169" s="54" t="s">
        <v>98</v>
      </c>
      <c r="B169" s="25" t="s">
        <v>79</v>
      </c>
      <c r="C169" s="15">
        <v>2</v>
      </c>
      <c r="D169" s="162">
        <f>C169/10</f>
        <v>0.2</v>
      </c>
      <c r="E169" s="45"/>
      <c r="F169" s="25" t="s">
        <v>72</v>
      </c>
      <c r="G169" s="15">
        <v>6</v>
      </c>
      <c r="H169" s="162">
        <f t="shared" ref="H169:H171" si="16">G169/10</f>
        <v>0.6</v>
      </c>
    </row>
    <row r="170" spans="1:8" x14ac:dyDescent="0.3">
      <c r="A170" s="54" t="s">
        <v>71</v>
      </c>
      <c r="B170" s="25" t="s">
        <v>72</v>
      </c>
      <c r="C170" s="15">
        <v>1</v>
      </c>
      <c r="D170" s="162">
        <f t="shared" ref="D170:D174" si="17">C170/10</f>
        <v>0.1</v>
      </c>
      <c r="E170" s="45"/>
      <c r="F170" s="25" t="s">
        <v>79</v>
      </c>
      <c r="G170" s="15">
        <v>3</v>
      </c>
      <c r="H170" s="162">
        <f t="shared" si="16"/>
        <v>0.3</v>
      </c>
    </row>
    <row r="171" spans="1:8" ht="14.5" thickBot="1" x14ac:dyDescent="0.35">
      <c r="A171" s="54" t="s">
        <v>138</v>
      </c>
      <c r="B171" s="25" t="s">
        <v>81</v>
      </c>
      <c r="C171" s="15">
        <v>1</v>
      </c>
      <c r="D171" s="162">
        <f t="shared" si="17"/>
        <v>0.1</v>
      </c>
      <c r="E171" s="45"/>
      <c r="F171" s="34" t="s">
        <v>81</v>
      </c>
      <c r="G171" s="24">
        <v>1</v>
      </c>
      <c r="H171" s="184">
        <f t="shared" si="16"/>
        <v>0.1</v>
      </c>
    </row>
    <row r="172" spans="1:8" x14ac:dyDescent="0.3">
      <c r="A172" s="54" t="s">
        <v>73</v>
      </c>
      <c r="B172" s="25" t="s">
        <v>72</v>
      </c>
      <c r="C172" s="15">
        <v>4</v>
      </c>
      <c r="D172" s="162">
        <f t="shared" si="17"/>
        <v>0.4</v>
      </c>
      <c r="E172" s="45"/>
      <c r="F172" s="37"/>
    </row>
    <row r="173" spans="1:8" x14ac:dyDescent="0.3">
      <c r="A173" s="54" t="s">
        <v>75</v>
      </c>
      <c r="B173" s="25" t="s">
        <v>72</v>
      </c>
      <c r="C173" s="15">
        <v>1</v>
      </c>
      <c r="D173" s="162">
        <f t="shared" si="17"/>
        <v>0.1</v>
      </c>
      <c r="E173" s="45"/>
      <c r="F173" s="37"/>
    </row>
    <row r="174" spans="1:8" ht="14.5" thickBot="1" x14ac:dyDescent="0.35">
      <c r="A174" s="54" t="s">
        <v>103</v>
      </c>
      <c r="B174" s="34" t="s">
        <v>79</v>
      </c>
      <c r="C174" s="24">
        <v>1</v>
      </c>
      <c r="D174" s="184">
        <f t="shared" si="17"/>
        <v>0.1</v>
      </c>
      <c r="E174" s="44"/>
    </row>
    <row r="175" spans="1:8" x14ac:dyDescent="0.3">
      <c r="A175" s="37"/>
      <c r="B175" s="37"/>
      <c r="C175" s="37"/>
      <c r="D175" s="186"/>
      <c r="E175" s="44"/>
    </row>
    <row r="176" spans="1:8" x14ac:dyDescent="0.3">
      <c r="A176" s="37"/>
      <c r="B176" s="37"/>
      <c r="C176" s="37"/>
      <c r="D176" s="186"/>
      <c r="E176" s="44"/>
    </row>
    <row r="177" spans="1:5" x14ac:dyDescent="0.3">
      <c r="A177" s="37"/>
      <c r="B177" s="37"/>
      <c r="C177" s="37"/>
      <c r="D177" s="186"/>
      <c r="E177" s="44"/>
    </row>
    <row r="178" spans="1:5" x14ac:dyDescent="0.3">
      <c r="A178" s="37"/>
      <c r="B178" s="37"/>
      <c r="C178" s="37"/>
      <c r="D178" s="186"/>
      <c r="E178" s="44"/>
    </row>
    <row r="179" spans="1:5" x14ac:dyDescent="0.3">
      <c r="A179" s="37"/>
      <c r="B179" s="37"/>
      <c r="C179" s="37"/>
      <c r="D179" s="186"/>
      <c r="E179" s="44"/>
    </row>
    <row r="180" spans="1:5" x14ac:dyDescent="0.3">
      <c r="A180" s="37"/>
      <c r="B180" s="37"/>
      <c r="C180" s="37"/>
      <c r="D180" s="186"/>
      <c r="E180" s="44"/>
    </row>
    <row r="181" spans="1:5" x14ac:dyDescent="0.3">
      <c r="A181" s="37"/>
      <c r="B181" s="37"/>
      <c r="C181" s="37"/>
      <c r="D181" s="186"/>
      <c r="E181" s="44"/>
    </row>
    <row r="182" spans="1:5" x14ac:dyDescent="0.3">
      <c r="A182" s="37"/>
      <c r="B182" s="37"/>
      <c r="C182" s="37"/>
      <c r="D182" s="186"/>
      <c r="E182" s="44"/>
    </row>
    <row r="183" spans="1:5" x14ac:dyDescent="0.3">
      <c r="A183" s="37"/>
      <c r="B183" s="37"/>
      <c r="C183" s="37"/>
      <c r="D183" s="186"/>
      <c r="E183" s="44"/>
    </row>
    <row r="184" spans="1:5" x14ac:dyDescent="0.3">
      <c r="A184" s="37"/>
      <c r="B184" s="37"/>
      <c r="C184" s="37"/>
      <c r="D184" s="186"/>
      <c r="E184" s="44"/>
    </row>
    <row r="185" spans="1:5" x14ac:dyDescent="0.3">
      <c r="A185" s="37"/>
      <c r="B185" s="37"/>
      <c r="C185" s="37"/>
      <c r="D185" s="186"/>
      <c r="E185" s="44"/>
    </row>
    <row r="186" spans="1:5" x14ac:dyDescent="0.3">
      <c r="A186" s="37"/>
      <c r="B186" s="37"/>
      <c r="C186" s="37"/>
      <c r="D186" s="186"/>
      <c r="E186" s="44"/>
    </row>
    <row r="187" spans="1:5" x14ac:dyDescent="0.3">
      <c r="A187" s="37"/>
      <c r="B187" s="37"/>
      <c r="C187" s="37"/>
      <c r="D187" s="186"/>
      <c r="E187" s="44"/>
    </row>
    <row r="188" spans="1:5" x14ac:dyDescent="0.3">
      <c r="A188" s="37"/>
      <c r="B188" s="37"/>
      <c r="C188" s="37"/>
      <c r="D188" s="186"/>
      <c r="E188" s="44"/>
    </row>
    <row r="189" spans="1:5" x14ac:dyDescent="0.3">
      <c r="A189" s="37"/>
      <c r="B189" s="37"/>
      <c r="C189" s="37"/>
      <c r="D189" s="186"/>
      <c r="E189" s="44"/>
    </row>
    <row r="190" spans="1:5" x14ac:dyDescent="0.3">
      <c r="A190" s="37"/>
      <c r="B190" s="37"/>
      <c r="C190" s="37"/>
      <c r="D190" s="186"/>
      <c r="E190" s="44"/>
    </row>
    <row r="191" spans="1:5" x14ac:dyDescent="0.3">
      <c r="A191" s="248" t="s">
        <v>66</v>
      </c>
      <c r="B191" s="37"/>
      <c r="C191" s="37"/>
      <c r="D191" s="186"/>
      <c r="E191" s="44"/>
    </row>
    <row r="192" spans="1:5" ht="14.5" thickBot="1" x14ac:dyDescent="0.35">
      <c r="A192" s="37"/>
      <c r="B192" s="37"/>
      <c r="C192" s="37"/>
      <c r="D192" s="186"/>
      <c r="E192" s="44"/>
    </row>
    <row r="193" spans="1:8" x14ac:dyDescent="0.3">
      <c r="A193" s="8" t="s">
        <v>126</v>
      </c>
      <c r="B193" s="73" t="s">
        <v>68</v>
      </c>
      <c r="C193" s="9" t="s">
        <v>49</v>
      </c>
      <c r="D193" s="57" t="s">
        <v>50</v>
      </c>
      <c r="E193" s="45"/>
      <c r="F193" s="163" t="s">
        <v>127</v>
      </c>
      <c r="G193" s="9" t="s">
        <v>114</v>
      </c>
      <c r="H193" s="58" t="s">
        <v>50</v>
      </c>
    </row>
    <row r="194" spans="1:8" ht="14.5" thickBot="1" x14ac:dyDescent="0.35">
      <c r="A194" s="34" t="s">
        <v>90</v>
      </c>
      <c r="B194" s="24" t="s">
        <v>76</v>
      </c>
      <c r="C194" s="24">
        <v>1</v>
      </c>
      <c r="D194" s="162">
        <f>C194/1</f>
        <v>1</v>
      </c>
      <c r="E194" s="45"/>
      <c r="F194" s="101" t="s">
        <v>76</v>
      </c>
      <c r="G194" s="15">
        <v>1</v>
      </c>
      <c r="H194" s="162">
        <f>G194/1</f>
        <v>1</v>
      </c>
    </row>
    <row r="195" spans="1:8" x14ac:dyDescent="0.3">
      <c r="A195" s="37"/>
      <c r="B195" s="37"/>
      <c r="C195" s="37"/>
      <c r="D195" s="186"/>
      <c r="E195" s="45"/>
      <c r="F195" s="37"/>
      <c r="G195" s="37"/>
      <c r="H195" s="186"/>
    </row>
    <row r="196" spans="1:8" x14ac:dyDescent="0.3">
      <c r="A196" s="37"/>
      <c r="B196" s="37"/>
      <c r="C196" s="37"/>
      <c r="D196" s="186"/>
      <c r="E196" s="45"/>
      <c r="F196" s="37"/>
      <c r="G196" s="37"/>
      <c r="H196" s="186"/>
    </row>
    <row r="197" spans="1:8" x14ac:dyDescent="0.3">
      <c r="A197" s="37"/>
      <c r="B197" s="37"/>
      <c r="C197" s="37"/>
      <c r="D197" s="186"/>
      <c r="E197" s="45"/>
      <c r="F197" s="37"/>
      <c r="G197" s="37"/>
      <c r="H197" s="186"/>
    </row>
    <row r="198" spans="1:8" x14ac:dyDescent="0.3">
      <c r="A198" s="37"/>
      <c r="B198" s="37"/>
      <c r="C198" s="37"/>
      <c r="D198" s="186"/>
      <c r="E198" s="45"/>
      <c r="F198" s="37"/>
      <c r="G198" s="37"/>
      <c r="H198" s="186"/>
    </row>
    <row r="199" spans="1:8" x14ac:dyDescent="0.3">
      <c r="A199" s="37"/>
      <c r="B199" s="37"/>
      <c r="C199" s="37"/>
      <c r="D199" s="186"/>
      <c r="E199" s="45"/>
      <c r="F199" s="37"/>
      <c r="G199" s="37"/>
      <c r="H199" s="186"/>
    </row>
    <row r="200" spans="1:8" x14ac:dyDescent="0.3">
      <c r="A200" s="37"/>
      <c r="B200" s="37"/>
      <c r="C200" s="37"/>
      <c r="D200" s="186"/>
      <c r="E200" s="45"/>
      <c r="F200" s="37"/>
      <c r="G200" s="37"/>
      <c r="H200" s="186"/>
    </row>
    <row r="201" spans="1:8" x14ac:dyDescent="0.3">
      <c r="A201" s="37"/>
      <c r="B201" s="37"/>
      <c r="C201" s="37"/>
      <c r="D201" s="186"/>
      <c r="E201" s="45"/>
      <c r="F201" s="37"/>
      <c r="G201" s="37"/>
      <c r="H201" s="186"/>
    </row>
    <row r="202" spans="1:8" x14ac:dyDescent="0.3">
      <c r="A202" s="37"/>
      <c r="B202" s="37"/>
      <c r="C202" s="37"/>
      <c r="D202" s="186"/>
      <c r="E202" s="45"/>
      <c r="F202" s="37"/>
      <c r="G202" s="37"/>
      <c r="H202" s="186"/>
    </row>
    <row r="203" spans="1:8" x14ac:dyDescent="0.3">
      <c r="A203" s="37"/>
      <c r="B203" s="37"/>
      <c r="C203" s="37"/>
      <c r="D203" s="186"/>
      <c r="E203" s="45"/>
      <c r="F203" s="37"/>
      <c r="G203" s="37"/>
      <c r="H203" s="186"/>
    </row>
    <row r="204" spans="1:8" x14ac:dyDescent="0.3">
      <c r="A204" s="37"/>
      <c r="B204" s="37"/>
      <c r="C204" s="37"/>
      <c r="D204" s="186"/>
      <c r="E204" s="45"/>
      <c r="F204" s="37"/>
      <c r="G204" s="37"/>
      <c r="H204" s="186"/>
    </row>
    <row r="205" spans="1:8" x14ac:dyDescent="0.3">
      <c r="A205" s="37"/>
      <c r="B205" s="37"/>
      <c r="C205" s="37"/>
      <c r="D205" s="186"/>
      <c r="E205" s="45"/>
      <c r="F205" s="37"/>
      <c r="G205" s="37"/>
      <c r="H205" s="186"/>
    </row>
    <row r="206" spans="1:8" x14ac:dyDescent="0.3">
      <c r="A206" s="37"/>
      <c r="B206" s="37"/>
      <c r="C206" s="37"/>
      <c r="D206" s="186"/>
      <c r="E206" s="45"/>
      <c r="F206" s="37"/>
      <c r="G206" s="37"/>
      <c r="H206" s="186"/>
    </row>
    <row r="207" spans="1:8" x14ac:dyDescent="0.3">
      <c r="A207" s="37"/>
      <c r="B207" s="37"/>
      <c r="C207" s="37"/>
      <c r="D207" s="186"/>
      <c r="E207" s="45"/>
      <c r="F207" s="37"/>
      <c r="G207" s="37"/>
      <c r="H207" s="186"/>
    </row>
    <row r="208" spans="1:8" x14ac:dyDescent="0.3">
      <c r="A208" s="37"/>
      <c r="B208" s="37"/>
      <c r="C208" s="37"/>
      <c r="D208" s="186"/>
      <c r="E208" s="45"/>
      <c r="F208" s="37"/>
      <c r="G208" s="37"/>
      <c r="H208" s="186"/>
    </row>
    <row r="209" spans="1:8" x14ac:dyDescent="0.3">
      <c r="A209" s="37"/>
      <c r="B209" s="37"/>
      <c r="C209" s="37"/>
      <c r="D209" s="186"/>
      <c r="E209" s="45"/>
      <c r="F209" s="37"/>
      <c r="G209" s="37"/>
      <c r="H209" s="186"/>
    </row>
    <row r="210" spans="1:8" x14ac:dyDescent="0.3">
      <c r="E210" s="45"/>
      <c r="H210" s="17"/>
    </row>
    <row r="211" spans="1:8" x14ac:dyDescent="0.3">
      <c r="E211" s="45"/>
      <c r="H211" s="17"/>
    </row>
    <row r="212" spans="1:8" x14ac:dyDescent="0.3">
      <c r="E212" s="45"/>
      <c r="H212" s="17"/>
    </row>
    <row r="213" spans="1:8" x14ac:dyDescent="0.3">
      <c r="E213" s="45"/>
      <c r="H213" s="17"/>
    </row>
    <row r="214" spans="1:8" ht="14.5" thickBot="1" x14ac:dyDescent="0.35">
      <c r="E214" s="45"/>
      <c r="F214" s="14"/>
      <c r="H214" s="17"/>
    </row>
    <row r="215" spans="1:8" x14ac:dyDescent="0.3">
      <c r="A215" s="8" t="s">
        <v>131</v>
      </c>
      <c r="B215" s="73" t="s">
        <v>68</v>
      </c>
      <c r="C215" s="9" t="s">
        <v>49</v>
      </c>
      <c r="D215" s="58" t="s">
        <v>50</v>
      </c>
      <c r="E215" s="45"/>
      <c r="F215" s="163" t="s">
        <v>132</v>
      </c>
      <c r="G215" s="9" t="s">
        <v>114</v>
      </c>
      <c r="H215" s="58" t="s">
        <v>50</v>
      </c>
    </row>
    <row r="216" spans="1:8" x14ac:dyDescent="0.3">
      <c r="A216" s="25" t="s">
        <v>115</v>
      </c>
      <c r="B216" s="15" t="s">
        <v>76</v>
      </c>
      <c r="C216" s="15">
        <v>1</v>
      </c>
      <c r="D216" s="162">
        <f>C216/12</f>
        <v>8.3333333333333329E-2</v>
      </c>
      <c r="F216" s="25" t="s">
        <v>72</v>
      </c>
      <c r="G216" s="15">
        <v>3</v>
      </c>
      <c r="H216" s="162">
        <f t="shared" ref="H216:H220" si="18">G216/12</f>
        <v>0.25</v>
      </c>
    </row>
    <row r="217" spans="1:8" x14ac:dyDescent="0.3">
      <c r="A217" s="25" t="s">
        <v>71</v>
      </c>
      <c r="B217" s="15" t="s">
        <v>72</v>
      </c>
      <c r="C217" s="15">
        <v>2</v>
      </c>
      <c r="D217" s="162">
        <f t="shared" ref="D217:D225" si="19">C217/12</f>
        <v>0.16666666666666666</v>
      </c>
      <c r="F217" s="101" t="s">
        <v>76</v>
      </c>
      <c r="G217" s="15">
        <v>3</v>
      </c>
      <c r="H217" s="162">
        <f t="shared" si="18"/>
        <v>0.25</v>
      </c>
    </row>
    <row r="218" spans="1:8" x14ac:dyDescent="0.3">
      <c r="A218" s="25" t="s">
        <v>99</v>
      </c>
      <c r="B218" s="15" t="s">
        <v>79</v>
      </c>
      <c r="C218" s="15">
        <v>1</v>
      </c>
      <c r="D218" s="162">
        <f t="shared" si="19"/>
        <v>8.3333333333333329E-2</v>
      </c>
      <c r="F218" s="25" t="s">
        <v>78</v>
      </c>
      <c r="G218" s="15">
        <v>1</v>
      </c>
      <c r="H218" s="162">
        <f t="shared" si="18"/>
        <v>8.3333333333333329E-2</v>
      </c>
    </row>
    <row r="219" spans="1:8" x14ac:dyDescent="0.3">
      <c r="A219" s="25" t="s">
        <v>96</v>
      </c>
      <c r="B219" s="15" t="s">
        <v>78</v>
      </c>
      <c r="C219" s="15">
        <v>1</v>
      </c>
      <c r="D219" s="162">
        <f t="shared" si="19"/>
        <v>8.3333333333333329E-2</v>
      </c>
      <c r="F219" s="25" t="s">
        <v>79</v>
      </c>
      <c r="G219" s="15">
        <v>2</v>
      </c>
      <c r="H219" s="162">
        <f t="shared" si="18"/>
        <v>0.16666666666666666</v>
      </c>
    </row>
    <row r="220" spans="1:8" ht="14.5" thickBot="1" x14ac:dyDescent="0.35">
      <c r="A220" s="25" t="s">
        <v>102</v>
      </c>
      <c r="B220" s="15" t="s">
        <v>79</v>
      </c>
      <c r="C220" s="15">
        <v>1</v>
      </c>
      <c r="D220" s="162">
        <f t="shared" si="19"/>
        <v>8.3333333333333329E-2</v>
      </c>
      <c r="F220" s="34" t="s">
        <v>81</v>
      </c>
      <c r="G220" s="24">
        <v>3</v>
      </c>
      <c r="H220" s="184">
        <f t="shared" si="18"/>
        <v>0.25</v>
      </c>
    </row>
    <row r="221" spans="1:8" x14ac:dyDescent="0.3">
      <c r="A221" s="25" t="s">
        <v>75</v>
      </c>
      <c r="B221" s="15" t="s">
        <v>72</v>
      </c>
      <c r="C221" s="15">
        <v>1</v>
      </c>
      <c r="D221" s="162">
        <f t="shared" si="19"/>
        <v>8.3333333333333329E-2</v>
      </c>
      <c r="F221" s="37"/>
      <c r="H221" s="17"/>
    </row>
    <row r="222" spans="1:8" x14ac:dyDescent="0.3">
      <c r="A222" s="25" t="s">
        <v>107</v>
      </c>
      <c r="B222" s="15" t="s">
        <v>81</v>
      </c>
      <c r="C222" s="15">
        <v>2</v>
      </c>
      <c r="D222" s="162">
        <f t="shared" si="19"/>
        <v>0.16666666666666666</v>
      </c>
      <c r="F222" s="37"/>
      <c r="H222" s="17"/>
    </row>
    <row r="223" spans="1:8" x14ac:dyDescent="0.3">
      <c r="A223" s="25" t="s">
        <v>90</v>
      </c>
      <c r="B223" s="15" t="s">
        <v>76</v>
      </c>
      <c r="C223" s="15">
        <v>1</v>
      </c>
      <c r="D223" s="162">
        <f t="shared" si="19"/>
        <v>8.3333333333333329E-2</v>
      </c>
    </row>
    <row r="224" spans="1:8" x14ac:dyDescent="0.3">
      <c r="A224" s="25" t="s">
        <v>91</v>
      </c>
      <c r="B224" s="15" t="s">
        <v>76</v>
      </c>
      <c r="C224" s="15">
        <v>1</v>
      </c>
      <c r="D224" s="162">
        <f t="shared" si="19"/>
        <v>8.3333333333333329E-2</v>
      </c>
    </row>
    <row r="225" spans="1:4" ht="14.5" thickBot="1" x14ac:dyDescent="0.35">
      <c r="A225" s="34" t="s">
        <v>133</v>
      </c>
      <c r="B225" s="24" t="s">
        <v>81</v>
      </c>
      <c r="C225" s="24">
        <v>1</v>
      </c>
      <c r="D225" s="184">
        <f t="shared" si="19"/>
        <v>8.3333333333333329E-2</v>
      </c>
    </row>
  </sheetData>
  <sheetProtection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K246"/>
  <sheetViews>
    <sheetView showGridLines="0" zoomScale="75" zoomScaleNormal="75" workbookViewId="0">
      <selection activeCell="B15" sqref="B15"/>
    </sheetView>
  </sheetViews>
  <sheetFormatPr defaultColWidth="9" defaultRowHeight="14" x14ac:dyDescent="0.3"/>
  <cols>
    <col min="1" max="1" width="84.26953125" style="13" customWidth="1"/>
    <col min="2" max="2" width="19.453125" style="13" customWidth="1"/>
    <col min="3" max="5" width="16.54296875" style="13" customWidth="1"/>
    <col min="6" max="6" width="78.26953125" style="13" bestFit="1" customWidth="1"/>
    <col min="7" max="7" width="14.1796875" style="13" customWidth="1"/>
    <col min="8" max="8" width="14.1796875" style="13" bestFit="1" customWidth="1"/>
    <col min="9" max="16384" width="9" style="13"/>
  </cols>
  <sheetData>
    <row r="1" spans="1:6" x14ac:dyDescent="0.3">
      <c r="A1" s="3" t="s">
        <v>148</v>
      </c>
      <c r="B1" s="4" t="s">
        <v>1</v>
      </c>
      <c r="C1" s="4" t="s">
        <v>2</v>
      </c>
      <c r="D1" s="4" t="s">
        <v>3</v>
      </c>
      <c r="E1" s="5" t="s">
        <v>4</v>
      </c>
    </row>
    <row r="2" spans="1:6" x14ac:dyDescent="0.3">
      <c r="A2" s="28" t="s">
        <v>5</v>
      </c>
      <c r="B2" s="29">
        <v>2</v>
      </c>
      <c r="C2" s="29">
        <v>2</v>
      </c>
      <c r="D2" s="29">
        <v>4</v>
      </c>
      <c r="E2" s="30">
        <v>4</v>
      </c>
    </row>
    <row r="3" spans="1:6" x14ac:dyDescent="0.3">
      <c r="A3" s="28" t="s">
        <v>6</v>
      </c>
      <c r="B3" s="29">
        <v>2</v>
      </c>
      <c r="C3" s="29">
        <v>2</v>
      </c>
      <c r="D3" s="29">
        <v>3</v>
      </c>
      <c r="E3" s="30">
        <v>3</v>
      </c>
    </row>
    <row r="4" spans="1:6" x14ac:dyDescent="0.3">
      <c r="A4" s="28" t="s">
        <v>7</v>
      </c>
      <c r="B4" s="29">
        <v>2</v>
      </c>
      <c r="C4" s="29">
        <v>1</v>
      </c>
      <c r="D4" s="29">
        <v>2</v>
      </c>
      <c r="E4" s="30">
        <v>2</v>
      </c>
    </row>
    <row r="5" spans="1:6" x14ac:dyDescent="0.3">
      <c r="A5" s="28" t="s">
        <v>8</v>
      </c>
      <c r="B5" s="29">
        <v>2</v>
      </c>
      <c r="C5" s="29">
        <v>2</v>
      </c>
      <c r="D5" s="29">
        <v>2</v>
      </c>
      <c r="E5" s="30">
        <v>2</v>
      </c>
    </row>
    <row r="6" spans="1:6" ht="14.5" thickBot="1" x14ac:dyDescent="0.35">
      <c r="A6" s="31" t="s">
        <v>9</v>
      </c>
      <c r="B6" s="32">
        <v>1</v>
      </c>
      <c r="C6" s="32">
        <v>0</v>
      </c>
      <c r="D6" s="32">
        <v>1</v>
      </c>
      <c r="E6" s="33">
        <v>1</v>
      </c>
    </row>
    <row r="9" spans="1:6" ht="14.5" thickBot="1" x14ac:dyDescent="0.35"/>
    <row r="10" spans="1:6" x14ac:dyDescent="0.3">
      <c r="A10" s="8" t="s">
        <v>135</v>
      </c>
      <c r="B10" s="9" t="s">
        <v>1</v>
      </c>
      <c r="C10" s="9" t="s">
        <v>2</v>
      </c>
      <c r="D10" s="9" t="s">
        <v>3</v>
      </c>
      <c r="E10" s="58" t="s">
        <v>4</v>
      </c>
    </row>
    <row r="11" spans="1:6" x14ac:dyDescent="0.3">
      <c r="A11" s="10" t="s">
        <v>11</v>
      </c>
      <c r="B11" s="15">
        <v>36</v>
      </c>
      <c r="C11" s="15">
        <v>40</v>
      </c>
      <c r="D11" s="15">
        <v>30</v>
      </c>
      <c r="E11" s="69">
        <v>27</v>
      </c>
    </row>
    <row r="12" spans="1:6" x14ac:dyDescent="0.3">
      <c r="A12" s="10" t="s">
        <v>12</v>
      </c>
      <c r="B12" s="15">
        <v>80</v>
      </c>
      <c r="C12" s="15">
        <v>72</v>
      </c>
      <c r="D12" s="15">
        <v>54</v>
      </c>
      <c r="E12" s="69">
        <v>45</v>
      </c>
    </row>
    <row r="13" spans="1:6" x14ac:dyDescent="0.3">
      <c r="A13" s="10" t="s">
        <v>13</v>
      </c>
      <c r="B13" s="23">
        <v>10463.24</v>
      </c>
      <c r="C13" s="23">
        <v>12948.82</v>
      </c>
      <c r="D13" s="23">
        <v>8737.81</v>
      </c>
      <c r="E13" s="68">
        <v>7843.83</v>
      </c>
    </row>
    <row r="14" spans="1:6" x14ac:dyDescent="0.3">
      <c r="A14" s="10" t="s">
        <v>14</v>
      </c>
      <c r="B14" s="23">
        <f>B13*52/B11</f>
        <v>15113.568888888889</v>
      </c>
      <c r="C14" s="23">
        <f t="shared" ref="C14:E14" si="0">C13*52/C11</f>
        <v>16833.466</v>
      </c>
      <c r="D14" s="23">
        <f>D13*52/D11</f>
        <v>15145.537333333334</v>
      </c>
      <c r="E14" s="68">
        <f t="shared" si="0"/>
        <v>15106.635555555555</v>
      </c>
    </row>
    <row r="15" spans="1:6" x14ac:dyDescent="0.3">
      <c r="A15" s="10" t="s">
        <v>15</v>
      </c>
      <c r="B15" s="23">
        <f>B13*52</f>
        <v>544088.48</v>
      </c>
      <c r="C15" s="23">
        <f t="shared" ref="C15:D15" si="1">C13*52</f>
        <v>673338.64</v>
      </c>
      <c r="D15" s="23">
        <f t="shared" si="1"/>
        <v>454366.12</v>
      </c>
      <c r="E15" s="68">
        <f>E13*52</f>
        <v>407879.16</v>
      </c>
      <c r="F15" s="173"/>
    </row>
    <row r="16" spans="1:6" ht="14.5" thickBot="1" x14ac:dyDescent="0.35">
      <c r="A16" s="114" t="s">
        <v>16</v>
      </c>
      <c r="B16" s="24">
        <v>536</v>
      </c>
      <c r="C16" s="24">
        <v>434</v>
      </c>
      <c r="D16" s="24">
        <v>571</v>
      </c>
      <c r="E16" s="70">
        <v>678</v>
      </c>
    </row>
    <row r="17" spans="1:6" x14ac:dyDescent="0.3">
      <c r="A17" s="112" t="s">
        <v>17</v>
      </c>
      <c r="B17" s="140">
        <v>30</v>
      </c>
      <c r="C17" s="140">
        <v>30</v>
      </c>
      <c r="D17" s="46">
        <v>22</v>
      </c>
      <c r="E17" s="141">
        <v>21</v>
      </c>
      <c r="F17" s="51"/>
    </row>
    <row r="18" spans="1:6" x14ac:dyDescent="0.3">
      <c r="A18" s="25" t="s">
        <v>18</v>
      </c>
      <c r="B18" s="41">
        <v>7</v>
      </c>
      <c r="C18" s="41">
        <v>6</v>
      </c>
      <c r="D18" s="15">
        <v>7</v>
      </c>
      <c r="E18" s="86">
        <v>7</v>
      </c>
      <c r="F18" s="93"/>
    </row>
    <row r="19" spans="1:6" x14ac:dyDescent="0.3">
      <c r="A19" s="78" t="s">
        <v>19</v>
      </c>
      <c r="B19" s="122">
        <f>B18/B17</f>
        <v>0.23333333333333334</v>
      </c>
      <c r="C19" s="122">
        <f>C18/C17</f>
        <v>0.2</v>
      </c>
      <c r="D19" s="122">
        <f>D18/D17</f>
        <v>0.31818181818181818</v>
      </c>
      <c r="E19" s="185">
        <f>E18/E17</f>
        <v>0.33333333333333331</v>
      </c>
      <c r="F19" s="93"/>
    </row>
    <row r="20" spans="1:6" ht="14.5" thickBot="1" x14ac:dyDescent="0.35">
      <c r="A20" s="34" t="s">
        <v>20</v>
      </c>
      <c r="B20" s="72">
        <v>2</v>
      </c>
      <c r="C20" s="72">
        <v>7</v>
      </c>
      <c r="D20" s="24">
        <v>4</v>
      </c>
      <c r="E20" s="142">
        <v>3</v>
      </c>
      <c r="F20" s="51"/>
    </row>
    <row r="21" spans="1:6" x14ac:dyDescent="0.3">
      <c r="A21" s="112" t="s">
        <v>21</v>
      </c>
      <c r="B21" s="140">
        <v>1</v>
      </c>
      <c r="C21" s="140">
        <v>0</v>
      </c>
      <c r="D21" s="46">
        <v>1</v>
      </c>
      <c r="E21" s="141">
        <v>0</v>
      </c>
      <c r="F21" s="51"/>
    </row>
    <row r="22" spans="1:6" x14ac:dyDescent="0.3">
      <c r="A22" s="25" t="s">
        <v>136</v>
      </c>
      <c r="B22" s="41">
        <v>0</v>
      </c>
      <c r="C22" s="41">
        <v>0</v>
      </c>
      <c r="D22" s="15">
        <v>1</v>
      </c>
      <c r="E22" s="86">
        <v>0</v>
      </c>
      <c r="F22" s="93"/>
    </row>
    <row r="23" spans="1:6" x14ac:dyDescent="0.3">
      <c r="A23" s="25" t="s">
        <v>23</v>
      </c>
      <c r="B23" s="41">
        <v>0</v>
      </c>
      <c r="C23" s="41">
        <v>0</v>
      </c>
      <c r="D23" s="15">
        <v>0</v>
      </c>
      <c r="E23" s="86">
        <v>0</v>
      </c>
      <c r="F23" s="51"/>
    </row>
    <row r="24" spans="1:6" x14ac:dyDescent="0.3">
      <c r="A24" s="25" t="s">
        <v>24</v>
      </c>
      <c r="B24" s="15">
        <v>1</v>
      </c>
      <c r="C24" s="15">
        <v>1</v>
      </c>
      <c r="D24" s="15">
        <v>1</v>
      </c>
      <c r="E24" s="69">
        <v>1</v>
      </c>
      <c r="F24" s="51"/>
    </row>
    <row r="25" spans="1:6" ht="14.5" thickBot="1" x14ac:dyDescent="0.35">
      <c r="A25" s="34" t="s">
        <v>25</v>
      </c>
      <c r="B25" s="143">
        <f>(B24+B23+B21)/(B11-B26)</f>
        <v>5.8823529411764705E-2</v>
      </c>
      <c r="C25" s="143">
        <f t="shared" ref="C25:E25" si="2">(C24+C23+C21)/(C11-C26)</f>
        <v>2.6315789473684209E-2</v>
      </c>
      <c r="D25" s="143">
        <f>(D24+D23+D21)/(D11-D26)</f>
        <v>7.1428571428571425E-2</v>
      </c>
      <c r="E25" s="184">
        <f t="shared" si="2"/>
        <v>0.04</v>
      </c>
      <c r="F25" s="51"/>
    </row>
    <row r="26" spans="1:6" ht="14.5" thickBot="1" x14ac:dyDescent="0.35">
      <c r="A26" s="115" t="s">
        <v>26</v>
      </c>
      <c r="B26" s="24">
        <v>2</v>
      </c>
      <c r="C26" s="24">
        <v>2</v>
      </c>
      <c r="D26" s="24">
        <v>2</v>
      </c>
      <c r="E26" s="70">
        <v>2</v>
      </c>
      <c r="F26" s="51"/>
    </row>
    <row r="27" spans="1:6" x14ac:dyDescent="0.3">
      <c r="A27" s="112" t="s">
        <v>27</v>
      </c>
      <c r="B27" s="46">
        <v>25</v>
      </c>
      <c r="C27" s="46">
        <v>28</v>
      </c>
      <c r="D27" s="46">
        <v>34</v>
      </c>
      <c r="E27" s="113">
        <v>28</v>
      </c>
    </row>
    <row r="28" spans="1:6" x14ac:dyDescent="0.3">
      <c r="A28" s="25" t="s">
        <v>28</v>
      </c>
      <c r="B28" s="15">
        <v>12</v>
      </c>
      <c r="C28" s="15">
        <v>14</v>
      </c>
      <c r="D28" s="15">
        <v>14</v>
      </c>
      <c r="E28" s="69">
        <v>7</v>
      </c>
    </row>
    <row r="29" spans="1:6" ht="14.5" thickBot="1" x14ac:dyDescent="0.35">
      <c r="A29" s="34" t="s">
        <v>29</v>
      </c>
      <c r="B29" s="24">
        <v>13</v>
      </c>
      <c r="C29" s="24">
        <v>10</v>
      </c>
      <c r="D29" s="24">
        <v>24</v>
      </c>
      <c r="E29" s="70">
        <v>10</v>
      </c>
    </row>
    <row r="30" spans="1:6" x14ac:dyDescent="0.3">
      <c r="A30" s="16"/>
    </row>
    <row r="32" spans="1:6" ht="14.5" thickBot="1" x14ac:dyDescent="0.35"/>
    <row r="33" spans="1:6" x14ac:dyDescent="0.3">
      <c r="A33" s="8" t="s">
        <v>30</v>
      </c>
      <c r="B33" s="9" t="s">
        <v>1</v>
      </c>
      <c r="C33" s="9" t="s">
        <v>2</v>
      </c>
      <c r="D33" s="9" t="s">
        <v>3</v>
      </c>
      <c r="E33" s="58" t="s">
        <v>4</v>
      </c>
    </row>
    <row r="34" spans="1:6" x14ac:dyDescent="0.3">
      <c r="A34" s="25" t="s">
        <v>11</v>
      </c>
      <c r="B34" s="15">
        <v>21</v>
      </c>
      <c r="C34" s="15">
        <v>18</v>
      </c>
      <c r="D34" s="15">
        <v>17</v>
      </c>
      <c r="E34" s="69">
        <v>15</v>
      </c>
    </row>
    <row r="35" spans="1:6" x14ac:dyDescent="0.3">
      <c r="A35" s="25" t="s">
        <v>13</v>
      </c>
      <c r="B35" s="23">
        <v>5840.36</v>
      </c>
      <c r="C35" s="23">
        <v>5709.66</v>
      </c>
      <c r="D35" s="23">
        <v>4913.8599999999997</v>
      </c>
      <c r="E35" s="68">
        <v>3569.63</v>
      </c>
    </row>
    <row r="36" spans="1:6" x14ac:dyDescent="0.3">
      <c r="A36" s="25" t="s">
        <v>14</v>
      </c>
      <c r="B36" s="23">
        <f>B35*52/B34</f>
        <v>14461.843809523809</v>
      </c>
      <c r="C36" s="23">
        <f t="shared" ref="C36:E36" si="3">C35*52/C34</f>
        <v>16494.573333333334</v>
      </c>
      <c r="D36" s="23">
        <f t="shared" si="3"/>
        <v>15030.630588235292</v>
      </c>
      <c r="E36" s="68">
        <f t="shared" si="3"/>
        <v>12374.717333333334</v>
      </c>
    </row>
    <row r="37" spans="1:6" x14ac:dyDescent="0.3">
      <c r="A37" s="25" t="s">
        <v>15</v>
      </c>
      <c r="B37" s="23">
        <f>B35*52</f>
        <v>303698.71999999997</v>
      </c>
      <c r="C37" s="23">
        <f t="shared" ref="C37:E37" si="4">C35*52</f>
        <v>296902.32</v>
      </c>
      <c r="D37" s="23">
        <f t="shared" si="4"/>
        <v>255520.71999999997</v>
      </c>
      <c r="E37" s="68">
        <f t="shared" si="4"/>
        <v>185620.76</v>
      </c>
    </row>
    <row r="38" spans="1:6" ht="14.5" thickBot="1" x14ac:dyDescent="0.35">
      <c r="A38" s="34" t="s">
        <v>16</v>
      </c>
      <c r="B38" s="24">
        <v>739</v>
      </c>
      <c r="C38" s="24">
        <v>630</v>
      </c>
      <c r="D38" s="24">
        <v>679</v>
      </c>
      <c r="E38" s="70">
        <v>720</v>
      </c>
    </row>
    <row r="39" spans="1:6" x14ac:dyDescent="0.3">
      <c r="A39" s="112" t="s">
        <v>31</v>
      </c>
      <c r="B39" s="46">
        <v>14</v>
      </c>
      <c r="C39" s="46">
        <v>14</v>
      </c>
      <c r="D39" s="46">
        <v>12</v>
      </c>
      <c r="E39" s="113">
        <v>12</v>
      </c>
      <c r="F39" s="51"/>
    </row>
    <row r="40" spans="1:6" x14ac:dyDescent="0.3">
      <c r="A40" s="25" t="s">
        <v>32</v>
      </c>
      <c r="B40" s="15">
        <v>4</v>
      </c>
      <c r="C40" s="15">
        <v>3</v>
      </c>
      <c r="D40" s="15">
        <v>2</v>
      </c>
      <c r="E40" s="69">
        <v>2</v>
      </c>
      <c r="F40" s="93"/>
    </row>
    <row r="41" spans="1:6" x14ac:dyDescent="0.3">
      <c r="A41" s="78" t="s">
        <v>19</v>
      </c>
      <c r="B41" s="122">
        <f>B40/B39</f>
        <v>0.2857142857142857</v>
      </c>
      <c r="C41" s="122">
        <f t="shared" ref="C41:E41" si="5">C40/C39</f>
        <v>0.21428571428571427</v>
      </c>
      <c r="D41" s="122">
        <f t="shared" si="5"/>
        <v>0.16666666666666666</v>
      </c>
      <c r="E41" s="185">
        <f t="shared" si="5"/>
        <v>0.16666666666666666</v>
      </c>
      <c r="F41" s="93"/>
    </row>
    <row r="42" spans="1:6" ht="14.5" thickBot="1" x14ac:dyDescent="0.35">
      <c r="A42" s="34" t="s">
        <v>33</v>
      </c>
      <c r="B42" s="24">
        <v>0</v>
      </c>
      <c r="C42" s="24">
        <v>1</v>
      </c>
      <c r="D42" s="24">
        <v>0</v>
      </c>
      <c r="E42" s="70">
        <v>0</v>
      </c>
      <c r="F42" s="51"/>
    </row>
    <row r="43" spans="1:6" x14ac:dyDescent="0.3">
      <c r="A43" s="112" t="s">
        <v>34</v>
      </c>
      <c r="B43" s="46">
        <v>4</v>
      </c>
      <c r="C43" s="46">
        <v>0</v>
      </c>
      <c r="D43" s="46">
        <v>0</v>
      </c>
      <c r="E43" s="113">
        <v>0</v>
      </c>
      <c r="F43" s="51"/>
    </row>
    <row r="44" spans="1:6" x14ac:dyDescent="0.3">
      <c r="A44" s="25" t="s">
        <v>35</v>
      </c>
      <c r="B44" s="15">
        <v>2</v>
      </c>
      <c r="C44" s="15">
        <v>0</v>
      </c>
      <c r="D44" s="15">
        <v>0</v>
      </c>
      <c r="E44" s="69">
        <v>0</v>
      </c>
      <c r="F44" s="93"/>
    </row>
    <row r="45" spans="1:6" x14ac:dyDescent="0.3">
      <c r="A45" s="25" t="s">
        <v>36</v>
      </c>
      <c r="B45" s="37">
        <v>1</v>
      </c>
      <c r="C45" s="15">
        <v>1</v>
      </c>
      <c r="D45" s="15">
        <v>2</v>
      </c>
      <c r="E45" s="69">
        <v>1</v>
      </c>
      <c r="F45" s="51"/>
    </row>
    <row r="46" spans="1:6" x14ac:dyDescent="0.3">
      <c r="A46" s="25" t="s">
        <v>37</v>
      </c>
      <c r="B46" s="27">
        <v>0</v>
      </c>
      <c r="C46" s="27">
        <v>0</v>
      </c>
      <c r="D46" s="27">
        <v>0</v>
      </c>
      <c r="E46" s="82">
        <v>0</v>
      </c>
      <c r="F46" s="51"/>
    </row>
    <row r="47" spans="1:6" ht="14.5" thickBot="1" x14ac:dyDescent="0.35">
      <c r="A47" s="34" t="s">
        <v>25</v>
      </c>
      <c r="B47" s="143">
        <f>(B46+B45+B43)/(B34-B48)</f>
        <v>0.26315789473684209</v>
      </c>
      <c r="C47" s="143">
        <f t="shared" ref="C47:E47" si="6">(C46+C45+C43)/(C34-C48)</f>
        <v>6.25E-2</v>
      </c>
      <c r="D47" s="143">
        <f t="shared" si="6"/>
        <v>0.14285714285714285</v>
      </c>
      <c r="E47" s="184">
        <f t="shared" si="6"/>
        <v>7.6923076923076927E-2</v>
      </c>
      <c r="F47" s="51"/>
    </row>
    <row r="48" spans="1:6" ht="14.5" thickBot="1" x14ac:dyDescent="0.35">
      <c r="A48" s="115" t="s">
        <v>26</v>
      </c>
      <c r="B48" s="157">
        <v>2</v>
      </c>
      <c r="C48" s="154">
        <v>2</v>
      </c>
      <c r="D48" s="154">
        <v>3</v>
      </c>
      <c r="E48" s="155">
        <v>2</v>
      </c>
      <c r="F48" s="51"/>
    </row>
    <row r="49" spans="1:8" x14ac:dyDescent="0.3">
      <c r="A49" s="112" t="s">
        <v>27</v>
      </c>
      <c r="B49" s="102">
        <v>20</v>
      </c>
      <c r="C49" s="102">
        <v>32</v>
      </c>
      <c r="D49" s="102">
        <v>20</v>
      </c>
      <c r="E49" s="103">
        <v>30</v>
      </c>
    </row>
    <row r="50" spans="1:8" x14ac:dyDescent="0.3">
      <c r="A50" s="25" t="s">
        <v>28</v>
      </c>
      <c r="B50" s="27">
        <v>2</v>
      </c>
      <c r="C50" s="27">
        <v>5</v>
      </c>
      <c r="D50" s="27">
        <v>8</v>
      </c>
      <c r="E50" s="82">
        <v>3</v>
      </c>
    </row>
    <row r="51" spans="1:8" ht="14.5" thickBot="1" x14ac:dyDescent="0.35">
      <c r="A51" s="34" t="s">
        <v>29</v>
      </c>
      <c r="B51" s="40">
        <v>2</v>
      </c>
      <c r="C51" s="40">
        <v>8</v>
      </c>
      <c r="D51" s="40">
        <v>9</v>
      </c>
      <c r="E51" s="83">
        <v>6</v>
      </c>
    </row>
    <row r="52" spans="1:8" x14ac:dyDescent="0.3">
      <c r="A52" s="16"/>
    </row>
    <row r="53" spans="1:8" x14ac:dyDescent="0.3">
      <c r="A53" s="16"/>
    </row>
    <row r="54" spans="1:8" ht="14.5" thickBot="1" x14ac:dyDescent="0.35">
      <c r="A54" s="16"/>
    </row>
    <row r="55" spans="1:8" x14ac:dyDescent="0.3">
      <c r="A55" s="8" t="s">
        <v>137</v>
      </c>
      <c r="B55" s="9" t="s">
        <v>1</v>
      </c>
      <c r="C55" s="9" t="s">
        <v>2</v>
      </c>
      <c r="D55" s="9" t="s">
        <v>3</v>
      </c>
      <c r="E55" s="58" t="s">
        <v>4</v>
      </c>
    </row>
    <row r="56" spans="1:8" x14ac:dyDescent="0.3">
      <c r="A56" s="25" t="s">
        <v>39</v>
      </c>
      <c r="B56" s="15">
        <v>1</v>
      </c>
      <c r="C56" s="15">
        <v>1</v>
      </c>
      <c r="D56" s="15">
        <v>1</v>
      </c>
      <c r="E56" s="69">
        <v>1</v>
      </c>
    </row>
    <row r="57" spans="1:8" x14ac:dyDescent="0.3">
      <c r="A57" s="25" t="s">
        <v>40</v>
      </c>
      <c r="B57" s="15">
        <v>1</v>
      </c>
      <c r="C57" s="15">
        <v>1</v>
      </c>
      <c r="D57" s="15">
        <v>1</v>
      </c>
      <c r="E57" s="69">
        <v>0</v>
      </c>
    </row>
    <row r="58" spans="1:8" x14ac:dyDescent="0.3">
      <c r="A58" s="25" t="s">
        <v>41</v>
      </c>
      <c r="B58" s="15">
        <v>0</v>
      </c>
      <c r="C58" s="15">
        <v>0</v>
      </c>
      <c r="D58" s="15">
        <v>0</v>
      </c>
      <c r="E58" s="69">
        <v>1</v>
      </c>
    </row>
    <row r="59" spans="1:8" ht="14.5" thickBot="1" x14ac:dyDescent="0.35">
      <c r="A59" s="34" t="s">
        <v>42</v>
      </c>
      <c r="B59" s="24">
        <v>0</v>
      </c>
      <c r="C59" s="24">
        <v>0</v>
      </c>
      <c r="D59" s="24">
        <v>0</v>
      </c>
      <c r="E59" s="70">
        <v>0</v>
      </c>
    </row>
    <row r="60" spans="1:8" x14ac:dyDescent="0.3">
      <c r="A60" s="112" t="s">
        <v>43</v>
      </c>
      <c r="B60" s="46">
        <v>0</v>
      </c>
      <c r="C60" s="46">
        <v>0</v>
      </c>
      <c r="D60" s="46">
        <v>0</v>
      </c>
      <c r="E60" s="113">
        <v>0</v>
      </c>
    </row>
    <row r="61" spans="1:8" x14ac:dyDescent="0.3">
      <c r="A61" s="25" t="s">
        <v>44</v>
      </c>
      <c r="B61" s="23">
        <v>0</v>
      </c>
      <c r="C61" s="23">
        <v>0</v>
      </c>
      <c r="D61" s="23">
        <v>0</v>
      </c>
      <c r="E61" s="68">
        <v>0</v>
      </c>
    </row>
    <row r="62" spans="1:8" x14ac:dyDescent="0.3">
      <c r="A62" s="25" t="s">
        <v>14</v>
      </c>
      <c r="B62" s="23">
        <v>0</v>
      </c>
      <c r="C62" s="23">
        <v>0</v>
      </c>
      <c r="D62" s="23">
        <v>0</v>
      </c>
      <c r="E62" s="68">
        <v>0</v>
      </c>
    </row>
    <row r="63" spans="1:8" ht="14.5" thickBot="1" x14ac:dyDescent="0.35">
      <c r="A63" s="34" t="s">
        <v>15</v>
      </c>
      <c r="B63" s="120">
        <v>0</v>
      </c>
      <c r="C63" s="120">
        <v>0</v>
      </c>
      <c r="D63" s="120">
        <v>0</v>
      </c>
      <c r="E63" s="121">
        <v>0</v>
      </c>
      <c r="H63" s="173"/>
    </row>
    <row r="64" spans="1:8" x14ac:dyDescent="0.3">
      <c r="A64" s="112" t="s">
        <v>45</v>
      </c>
      <c r="B64" s="46">
        <v>0</v>
      </c>
      <c r="C64" s="46">
        <v>0</v>
      </c>
      <c r="D64" s="46">
        <v>0</v>
      </c>
      <c r="E64" s="113">
        <v>0</v>
      </c>
    </row>
    <row r="65" spans="1:6" x14ac:dyDescent="0.3">
      <c r="A65" s="78" t="s">
        <v>46</v>
      </c>
      <c r="B65" s="15">
        <v>0</v>
      </c>
      <c r="C65" s="15">
        <v>0</v>
      </c>
      <c r="D65" s="15">
        <v>0</v>
      </c>
      <c r="E65" s="69">
        <v>1</v>
      </c>
    </row>
    <row r="66" spans="1:6" ht="14.5" thickBot="1" x14ac:dyDescent="0.35">
      <c r="A66" s="34" t="s">
        <v>47</v>
      </c>
      <c r="B66" s="24">
        <v>0</v>
      </c>
      <c r="C66" s="24">
        <v>0</v>
      </c>
      <c r="D66" s="24">
        <v>0</v>
      </c>
      <c r="E66" s="70">
        <v>0</v>
      </c>
    </row>
    <row r="67" spans="1:6" x14ac:dyDescent="0.3">
      <c r="A67" s="16"/>
      <c r="C67" s="17"/>
    </row>
    <row r="68" spans="1:6" x14ac:dyDescent="0.3">
      <c r="A68" s="16"/>
      <c r="C68" s="17"/>
    </row>
    <row r="69" spans="1:6" x14ac:dyDescent="0.3">
      <c r="A69" s="16"/>
      <c r="C69" s="17"/>
    </row>
    <row r="70" spans="1:6" x14ac:dyDescent="0.3">
      <c r="A70" s="16"/>
      <c r="C70" s="17"/>
    </row>
    <row r="71" spans="1:6" x14ac:dyDescent="0.3">
      <c r="A71" s="16"/>
      <c r="C71" s="17"/>
    </row>
    <row r="72" spans="1:6" ht="14.5" thickBot="1" x14ac:dyDescent="0.35">
      <c r="A72" s="16"/>
      <c r="C72" s="17"/>
    </row>
    <row r="73" spans="1:6" s="1" customFormat="1" x14ac:dyDescent="0.3">
      <c r="A73" s="190" t="s">
        <v>48</v>
      </c>
      <c r="B73" s="73" t="s">
        <v>49</v>
      </c>
      <c r="C73" s="191" t="s">
        <v>50</v>
      </c>
    </row>
    <row r="74" spans="1:6" s="1" customFormat="1" x14ac:dyDescent="0.3">
      <c r="A74" s="10" t="s">
        <v>51</v>
      </c>
      <c r="B74" s="123">
        <v>2</v>
      </c>
      <c r="C74" s="171">
        <f>B74/57</f>
        <v>3.5087719298245612E-2</v>
      </c>
    </row>
    <row r="75" spans="1:6" s="1" customFormat="1" x14ac:dyDescent="0.3">
      <c r="A75" s="10" t="s">
        <v>52</v>
      </c>
      <c r="B75" s="123">
        <v>0</v>
      </c>
      <c r="C75" s="171">
        <f t="shared" ref="C75:C80" si="7">B75/57</f>
        <v>0</v>
      </c>
    </row>
    <row r="76" spans="1:6" s="1" customFormat="1" x14ac:dyDescent="0.3">
      <c r="A76" s="10" t="s">
        <v>53</v>
      </c>
      <c r="B76" s="123">
        <v>0</v>
      </c>
      <c r="C76" s="171">
        <f t="shared" si="7"/>
        <v>0</v>
      </c>
    </row>
    <row r="77" spans="1:6" s="1" customFormat="1" x14ac:dyDescent="0.3">
      <c r="A77" s="10" t="s">
        <v>54</v>
      </c>
      <c r="B77" s="123">
        <v>53</v>
      </c>
      <c r="C77" s="171">
        <f t="shared" si="7"/>
        <v>0.92982456140350878</v>
      </c>
    </row>
    <row r="78" spans="1:6" s="1" customFormat="1" x14ac:dyDescent="0.3">
      <c r="A78" s="10" t="s">
        <v>55</v>
      </c>
      <c r="B78" s="123">
        <v>1</v>
      </c>
      <c r="C78" s="171">
        <f t="shared" si="7"/>
        <v>1.7543859649122806E-2</v>
      </c>
      <c r="F78" s="84"/>
    </row>
    <row r="79" spans="1:6" s="1" customFormat="1" x14ac:dyDescent="0.3">
      <c r="A79" s="10" t="s">
        <v>56</v>
      </c>
      <c r="B79" s="123">
        <v>0</v>
      </c>
      <c r="C79" s="171">
        <f t="shared" si="7"/>
        <v>0</v>
      </c>
    </row>
    <row r="80" spans="1:6" s="1" customFormat="1" x14ac:dyDescent="0.3">
      <c r="A80" s="10" t="s">
        <v>57</v>
      </c>
      <c r="B80" s="123">
        <v>1</v>
      </c>
      <c r="C80" s="171">
        <f t="shared" si="7"/>
        <v>1.7543859649122806E-2</v>
      </c>
    </row>
    <row r="81" spans="1:4" s="1" customFormat="1" ht="14.5" thickBot="1" x14ac:dyDescent="0.35">
      <c r="A81" s="192" t="s">
        <v>49</v>
      </c>
      <c r="B81" s="193">
        <f>SUM(B74:B80)</f>
        <v>57</v>
      </c>
      <c r="C81" s="194">
        <f>SUM(C74:C80)</f>
        <v>1</v>
      </c>
    </row>
    <row r="82" spans="1:4" s="1" customFormat="1" x14ac:dyDescent="0.3">
      <c r="A82" s="174"/>
      <c r="B82" s="174"/>
      <c r="C82" s="175"/>
      <c r="D82" s="174"/>
    </row>
    <row r="83" spans="1:4" s="1" customFormat="1" ht="14.5" thickBot="1" x14ac:dyDescent="0.35">
      <c r="A83" s="174"/>
      <c r="B83" s="174"/>
      <c r="C83" s="175"/>
      <c r="D83" s="174"/>
    </row>
    <row r="84" spans="1:4" s="1" customFormat="1" ht="14.25" customHeight="1" x14ac:dyDescent="0.3">
      <c r="A84" s="238" t="s">
        <v>58</v>
      </c>
      <c r="B84" s="239" t="s">
        <v>49</v>
      </c>
      <c r="C84" s="240" t="s">
        <v>50</v>
      </c>
      <c r="D84" s="80"/>
    </row>
    <row r="85" spans="1:4" s="1" customFormat="1" ht="14.25" customHeight="1" x14ac:dyDescent="0.3">
      <c r="A85" s="195" t="s">
        <v>59</v>
      </c>
      <c r="B85" s="124">
        <v>1</v>
      </c>
      <c r="C85" s="196">
        <f>B85/1</f>
        <v>1</v>
      </c>
      <c r="D85" s="80"/>
    </row>
    <row r="86" spans="1:4" s="1" customFormat="1" ht="14.25" customHeight="1" x14ac:dyDescent="0.3">
      <c r="A86" s="195" t="s">
        <v>60</v>
      </c>
      <c r="B86" s="124">
        <v>0</v>
      </c>
      <c r="C86" s="196">
        <f t="shared" ref="C86:C89" si="8">B86/1</f>
        <v>0</v>
      </c>
      <c r="D86" s="80"/>
    </row>
    <row r="87" spans="1:4" s="1" customFormat="1" ht="14.25" customHeight="1" x14ac:dyDescent="0.3">
      <c r="A87" s="195" t="s">
        <v>61</v>
      </c>
      <c r="B87" s="124">
        <v>0</v>
      </c>
      <c r="C87" s="196">
        <f t="shared" si="8"/>
        <v>0</v>
      </c>
      <c r="D87" s="80"/>
    </row>
    <row r="88" spans="1:4" s="1" customFormat="1" ht="14.25" customHeight="1" x14ac:dyDescent="0.3">
      <c r="A88" s="195" t="s">
        <v>62</v>
      </c>
      <c r="B88" s="124">
        <v>0</v>
      </c>
      <c r="C88" s="196">
        <f t="shared" si="8"/>
        <v>0</v>
      </c>
      <c r="D88" s="80"/>
    </row>
    <row r="89" spans="1:4" s="1" customFormat="1" ht="14.25" customHeight="1" x14ac:dyDescent="0.3">
      <c r="A89" s="195" t="s">
        <v>63</v>
      </c>
      <c r="B89" s="124">
        <v>0</v>
      </c>
      <c r="C89" s="196">
        <f t="shared" si="8"/>
        <v>0</v>
      </c>
      <c r="D89" s="80"/>
    </row>
    <row r="90" spans="1:4" s="1" customFormat="1" ht="14.5" thickBot="1" x14ac:dyDescent="0.35">
      <c r="A90" s="197" t="s">
        <v>49</v>
      </c>
      <c r="B90" s="198">
        <f>SUM(B85:B89)</f>
        <v>1</v>
      </c>
      <c r="C90" s="218">
        <f>SUM(C85:C89)</f>
        <v>1</v>
      </c>
      <c r="D90" s="17"/>
    </row>
    <row r="91" spans="1:4" s="1" customFormat="1" x14ac:dyDescent="0.3">
      <c r="A91" s="176"/>
      <c r="B91" s="177"/>
      <c r="C91" s="178"/>
      <c r="D91" s="170"/>
    </row>
    <row r="92" spans="1:4" s="1" customFormat="1" x14ac:dyDescent="0.3">
      <c r="A92" s="176"/>
      <c r="B92" s="177"/>
      <c r="C92" s="178"/>
      <c r="D92" s="170"/>
    </row>
    <row r="93" spans="1:4" s="1" customFormat="1" x14ac:dyDescent="0.3">
      <c r="A93" s="176"/>
      <c r="B93" s="177"/>
      <c r="C93" s="178"/>
      <c r="D93" s="170"/>
    </row>
    <row r="94" spans="1:4" s="1" customFormat="1" x14ac:dyDescent="0.3">
      <c r="A94" s="201" t="s">
        <v>64</v>
      </c>
      <c r="B94" s="202" t="s">
        <v>49</v>
      </c>
      <c r="C94" s="203" t="s">
        <v>50</v>
      </c>
      <c r="D94" s="2"/>
    </row>
    <row r="95" spans="1:4" s="1" customFormat="1" x14ac:dyDescent="0.3">
      <c r="A95" s="10" t="s">
        <v>51</v>
      </c>
      <c r="B95" s="125">
        <v>2</v>
      </c>
      <c r="C95" s="196">
        <f>B95/25</f>
        <v>0.08</v>
      </c>
      <c r="D95" s="2"/>
    </row>
    <row r="96" spans="1:4" s="1" customFormat="1" x14ac:dyDescent="0.3">
      <c r="A96" s="204" t="s">
        <v>52</v>
      </c>
      <c r="B96" s="125">
        <v>1</v>
      </c>
      <c r="C96" s="196">
        <f t="shared" ref="C96:C101" si="9">B96/25</f>
        <v>0.04</v>
      </c>
      <c r="D96" s="2"/>
    </row>
    <row r="97" spans="1:4" s="1" customFormat="1" x14ac:dyDescent="0.3">
      <c r="A97" s="204" t="s">
        <v>53</v>
      </c>
      <c r="B97" s="125">
        <v>0</v>
      </c>
      <c r="C97" s="196">
        <f t="shared" si="9"/>
        <v>0</v>
      </c>
      <c r="D97" s="2"/>
    </row>
    <row r="98" spans="1:4" s="1" customFormat="1" x14ac:dyDescent="0.3">
      <c r="A98" s="204" t="s">
        <v>54</v>
      </c>
      <c r="B98" s="125">
        <v>11</v>
      </c>
      <c r="C98" s="196">
        <f t="shared" si="9"/>
        <v>0.44</v>
      </c>
      <c r="D98" s="2"/>
    </row>
    <row r="99" spans="1:4" s="1" customFormat="1" x14ac:dyDescent="0.3">
      <c r="A99" s="204" t="s">
        <v>55</v>
      </c>
      <c r="B99" s="125">
        <v>5</v>
      </c>
      <c r="C99" s="196">
        <f t="shared" si="9"/>
        <v>0.2</v>
      </c>
      <c r="D99" s="2"/>
    </row>
    <row r="100" spans="1:4" s="1" customFormat="1" x14ac:dyDescent="0.3">
      <c r="A100" s="204" t="s">
        <v>56</v>
      </c>
      <c r="B100" s="125">
        <v>1</v>
      </c>
      <c r="C100" s="196">
        <f t="shared" si="9"/>
        <v>0.04</v>
      </c>
      <c r="D100" s="2"/>
    </row>
    <row r="101" spans="1:4" s="1" customFormat="1" x14ac:dyDescent="0.3">
      <c r="A101" s="204" t="s">
        <v>57</v>
      </c>
      <c r="B101" s="125">
        <v>5</v>
      </c>
      <c r="C101" s="196">
        <f t="shared" si="9"/>
        <v>0.2</v>
      </c>
      <c r="D101" s="2"/>
    </row>
    <row r="102" spans="1:4" s="1" customFormat="1" ht="14.5" thickBot="1" x14ac:dyDescent="0.35">
      <c r="A102" s="205" t="s">
        <v>49</v>
      </c>
      <c r="B102" s="206">
        <f>SUM(B95:B101)</f>
        <v>25</v>
      </c>
      <c r="C102" s="217">
        <f>SUM(C95:C101)</f>
        <v>1</v>
      </c>
      <c r="D102" s="2"/>
    </row>
    <row r="103" spans="1:4" s="1" customFormat="1" x14ac:dyDescent="0.3">
      <c r="A103" s="179"/>
      <c r="B103" s="179"/>
      <c r="C103" s="180"/>
      <c r="D103" s="181"/>
    </row>
    <row r="104" spans="1:4" s="1" customFormat="1" ht="14.5" thickBot="1" x14ac:dyDescent="0.35">
      <c r="A104" s="179"/>
      <c r="B104" s="179"/>
      <c r="C104" s="180"/>
      <c r="D104" s="181"/>
    </row>
    <row r="105" spans="1:4" s="1" customFormat="1" x14ac:dyDescent="0.3">
      <c r="A105" s="235" t="s">
        <v>65</v>
      </c>
      <c r="B105" s="236" t="s">
        <v>49</v>
      </c>
      <c r="C105" s="237" t="s">
        <v>50</v>
      </c>
      <c r="D105" s="2"/>
    </row>
    <row r="106" spans="1:4" s="1" customFormat="1" x14ac:dyDescent="0.3">
      <c r="A106" s="210" t="s">
        <v>59</v>
      </c>
      <c r="B106" s="130">
        <v>3</v>
      </c>
      <c r="C106" s="196">
        <f>B106/5</f>
        <v>0.6</v>
      </c>
      <c r="D106" s="2"/>
    </row>
    <row r="107" spans="1:4" s="1" customFormat="1" x14ac:dyDescent="0.3">
      <c r="A107" s="212" t="s">
        <v>60</v>
      </c>
      <c r="B107" s="130">
        <v>2</v>
      </c>
      <c r="C107" s="196">
        <f t="shared" ref="C107:C110" si="10">B107/5</f>
        <v>0.4</v>
      </c>
      <c r="D107" s="2"/>
    </row>
    <row r="108" spans="1:4" s="1" customFormat="1" x14ac:dyDescent="0.3">
      <c r="A108" s="212" t="s">
        <v>61</v>
      </c>
      <c r="B108" s="130">
        <v>0</v>
      </c>
      <c r="C108" s="196">
        <f t="shared" si="10"/>
        <v>0</v>
      </c>
      <c r="D108" s="2"/>
    </row>
    <row r="109" spans="1:4" s="1" customFormat="1" x14ac:dyDescent="0.3">
      <c r="A109" s="212" t="s">
        <v>62</v>
      </c>
      <c r="B109" s="130">
        <v>0</v>
      </c>
      <c r="C109" s="196">
        <f t="shared" si="10"/>
        <v>0</v>
      </c>
      <c r="D109" s="2"/>
    </row>
    <row r="110" spans="1:4" s="1" customFormat="1" x14ac:dyDescent="0.3">
      <c r="A110" s="212" t="s">
        <v>63</v>
      </c>
      <c r="B110" s="130">
        <v>0</v>
      </c>
      <c r="C110" s="196">
        <f t="shared" si="10"/>
        <v>0</v>
      </c>
      <c r="D110" s="2"/>
    </row>
    <row r="111" spans="1:4" s="1" customFormat="1" ht="14.5" thickBot="1" x14ac:dyDescent="0.35">
      <c r="A111" s="214" t="s">
        <v>49</v>
      </c>
      <c r="B111" s="206">
        <f>SUM(B106:B110)</f>
        <v>5</v>
      </c>
      <c r="C111" s="215">
        <f>SUM(C106:C110)</f>
        <v>1</v>
      </c>
      <c r="D111" s="2"/>
    </row>
    <row r="112" spans="1:4" s="1" customFormat="1" x14ac:dyDescent="0.3">
      <c r="A112" s="182"/>
      <c r="B112" s="179"/>
      <c r="C112" s="183"/>
      <c r="D112" s="181"/>
    </row>
    <row r="113" spans="1:8" s="1" customFormat="1" x14ac:dyDescent="0.3">
      <c r="A113" s="182"/>
      <c r="B113" s="179"/>
      <c r="C113" s="183"/>
      <c r="D113" s="181"/>
    </row>
    <row r="114" spans="1:8" s="1" customFormat="1" x14ac:dyDescent="0.3">
      <c r="A114" s="248" t="s">
        <v>66</v>
      </c>
      <c r="B114" s="179"/>
      <c r="C114" s="183"/>
      <c r="D114" s="181"/>
    </row>
    <row r="115" spans="1:8" s="1" customFormat="1" x14ac:dyDescent="0.3">
      <c r="A115" s="182"/>
      <c r="B115" s="179"/>
      <c r="C115" s="183"/>
      <c r="D115" s="181"/>
    </row>
    <row r="116" spans="1:8" x14ac:dyDescent="0.3">
      <c r="A116" s="8" t="s">
        <v>67</v>
      </c>
      <c r="B116" s="9" t="s">
        <v>68</v>
      </c>
      <c r="C116" s="9" t="s">
        <v>49</v>
      </c>
      <c r="D116" s="58" t="s">
        <v>50</v>
      </c>
      <c r="E116" s="44"/>
      <c r="F116" s="8" t="s">
        <v>69</v>
      </c>
      <c r="G116" s="9" t="s">
        <v>114</v>
      </c>
      <c r="H116" s="58" t="s">
        <v>50</v>
      </c>
    </row>
    <row r="117" spans="1:8" x14ac:dyDescent="0.3">
      <c r="A117" s="25" t="s">
        <v>71</v>
      </c>
      <c r="B117" s="15" t="s">
        <v>72</v>
      </c>
      <c r="C117" s="15">
        <v>2</v>
      </c>
      <c r="D117" s="162">
        <f>C117/25</f>
        <v>0.08</v>
      </c>
      <c r="E117" s="45"/>
      <c r="F117" s="25" t="s">
        <v>72</v>
      </c>
      <c r="G117" s="15">
        <v>4</v>
      </c>
      <c r="H117" s="162">
        <f t="shared" ref="H117:H121" si="11">G117/25</f>
        <v>0.16</v>
      </c>
    </row>
    <row r="118" spans="1:8" x14ac:dyDescent="0.3">
      <c r="A118" s="25" t="s">
        <v>75</v>
      </c>
      <c r="B118" s="15" t="s">
        <v>72</v>
      </c>
      <c r="C118" s="15">
        <v>2</v>
      </c>
      <c r="D118" s="162">
        <f t="shared" ref="D118:D125" si="12">C118/25</f>
        <v>0.08</v>
      </c>
      <c r="E118" s="45"/>
      <c r="F118" s="25" t="s">
        <v>76</v>
      </c>
      <c r="G118" s="15">
        <v>1</v>
      </c>
      <c r="H118" s="162">
        <f t="shared" si="11"/>
        <v>0.04</v>
      </c>
    </row>
    <row r="119" spans="1:8" x14ac:dyDescent="0.3">
      <c r="A119" s="25" t="s">
        <v>92</v>
      </c>
      <c r="B119" s="15" t="s">
        <v>76</v>
      </c>
      <c r="C119" s="15">
        <v>1</v>
      </c>
      <c r="D119" s="162">
        <f t="shared" si="12"/>
        <v>0.04</v>
      </c>
      <c r="E119" s="45"/>
      <c r="F119" s="25" t="s">
        <v>78</v>
      </c>
      <c r="G119" s="15">
        <v>3</v>
      </c>
      <c r="H119" s="162">
        <f t="shared" si="11"/>
        <v>0.12</v>
      </c>
    </row>
    <row r="120" spans="1:8" x14ac:dyDescent="0.3">
      <c r="A120" s="25" t="s">
        <v>95</v>
      </c>
      <c r="B120" s="15" t="s">
        <v>78</v>
      </c>
      <c r="C120" s="15">
        <v>1</v>
      </c>
      <c r="D120" s="162">
        <f t="shared" si="12"/>
        <v>0.04</v>
      </c>
      <c r="E120" s="45"/>
      <c r="F120" s="25" t="s">
        <v>79</v>
      </c>
      <c r="G120" s="15">
        <v>3</v>
      </c>
      <c r="H120" s="162">
        <f t="shared" si="11"/>
        <v>0.12</v>
      </c>
    </row>
    <row r="121" spans="1:8" ht="14.5" thickBot="1" x14ac:dyDescent="0.35">
      <c r="A121" s="25" t="s">
        <v>96</v>
      </c>
      <c r="B121" s="15" t="s">
        <v>78</v>
      </c>
      <c r="C121" s="15">
        <v>2</v>
      </c>
      <c r="D121" s="162">
        <f t="shared" si="12"/>
        <v>0.08</v>
      </c>
      <c r="E121" s="45"/>
      <c r="F121" s="34" t="s">
        <v>81</v>
      </c>
      <c r="G121" s="24">
        <v>14</v>
      </c>
      <c r="H121" s="184">
        <f t="shared" si="11"/>
        <v>0.56000000000000005</v>
      </c>
    </row>
    <row r="122" spans="1:8" x14ac:dyDescent="0.3">
      <c r="A122" s="25" t="s">
        <v>101</v>
      </c>
      <c r="B122" s="15" t="s">
        <v>79</v>
      </c>
      <c r="C122" s="15">
        <v>1</v>
      </c>
      <c r="D122" s="162">
        <f t="shared" si="12"/>
        <v>0.04</v>
      </c>
      <c r="E122" s="45"/>
      <c r="F122" s="45"/>
      <c r="G122" s="45"/>
      <c r="H122" s="170"/>
    </row>
    <row r="123" spans="1:8" x14ac:dyDescent="0.3">
      <c r="A123" s="25" t="s">
        <v>102</v>
      </c>
      <c r="B123" s="15" t="s">
        <v>79</v>
      </c>
      <c r="C123" s="15">
        <v>2</v>
      </c>
      <c r="D123" s="162">
        <f t="shared" si="12"/>
        <v>0.08</v>
      </c>
      <c r="E123" s="45"/>
      <c r="H123" s="17"/>
    </row>
    <row r="124" spans="1:8" x14ac:dyDescent="0.3">
      <c r="A124" s="25" t="s">
        <v>107</v>
      </c>
      <c r="B124" s="15" t="s">
        <v>81</v>
      </c>
      <c r="C124" s="15">
        <v>13</v>
      </c>
      <c r="D124" s="162">
        <f t="shared" si="12"/>
        <v>0.52</v>
      </c>
      <c r="E124" s="45"/>
    </row>
    <row r="125" spans="1:8" x14ac:dyDescent="0.3">
      <c r="A125" s="25" t="s">
        <v>108</v>
      </c>
      <c r="B125" s="15" t="s">
        <v>81</v>
      </c>
      <c r="C125" s="15">
        <v>1</v>
      </c>
      <c r="D125" s="162">
        <f t="shared" si="12"/>
        <v>0.04</v>
      </c>
      <c r="E125" s="45"/>
    </row>
    <row r="126" spans="1:8" ht="14.5" thickBot="1" x14ac:dyDescent="0.35">
      <c r="A126" s="34" t="s">
        <v>109</v>
      </c>
      <c r="B126" s="24" t="s">
        <v>110</v>
      </c>
      <c r="C126" s="24">
        <v>2</v>
      </c>
      <c r="D126" s="169" t="s">
        <v>111</v>
      </c>
    </row>
    <row r="127" spans="1:8" x14ac:dyDescent="0.3">
      <c r="A127" s="37"/>
      <c r="B127" s="37"/>
      <c r="C127" s="37"/>
      <c r="D127" s="219"/>
    </row>
    <row r="128" spans="1:8" x14ac:dyDescent="0.3">
      <c r="A128" s="37"/>
      <c r="B128" s="37"/>
      <c r="C128" s="37"/>
      <c r="D128" s="219"/>
    </row>
    <row r="129" spans="1:4" x14ac:dyDescent="0.3">
      <c r="A129" s="37"/>
      <c r="B129" s="37"/>
      <c r="C129" s="37"/>
      <c r="D129" s="219"/>
    </row>
    <row r="130" spans="1:4" x14ac:dyDescent="0.3">
      <c r="A130" s="37"/>
      <c r="B130" s="37"/>
      <c r="C130" s="37"/>
      <c r="D130" s="219"/>
    </row>
    <row r="131" spans="1:4" x14ac:dyDescent="0.3">
      <c r="A131" s="37"/>
      <c r="B131" s="37"/>
      <c r="C131" s="37"/>
      <c r="D131" s="219"/>
    </row>
    <row r="132" spans="1:4" x14ac:dyDescent="0.3">
      <c r="A132" s="37"/>
      <c r="B132" s="37"/>
      <c r="C132" s="37"/>
      <c r="D132" s="219"/>
    </row>
    <row r="133" spans="1:4" x14ac:dyDescent="0.3">
      <c r="A133" s="37"/>
      <c r="B133" s="37"/>
      <c r="C133" s="37"/>
      <c r="D133" s="219"/>
    </row>
    <row r="134" spans="1:4" x14ac:dyDescent="0.3">
      <c r="A134" s="37"/>
      <c r="B134" s="37"/>
      <c r="C134" s="37"/>
      <c r="D134" s="219"/>
    </row>
    <row r="135" spans="1:4" x14ac:dyDescent="0.3">
      <c r="A135" s="37"/>
      <c r="B135" s="37"/>
      <c r="C135" s="37"/>
      <c r="D135" s="219"/>
    </row>
    <row r="136" spans="1:4" x14ac:dyDescent="0.3">
      <c r="A136" s="37"/>
      <c r="B136" s="37"/>
      <c r="C136" s="37"/>
      <c r="D136" s="219"/>
    </row>
    <row r="137" spans="1:4" x14ac:dyDescent="0.3">
      <c r="A137" s="37"/>
      <c r="B137" s="37"/>
      <c r="C137" s="37"/>
      <c r="D137" s="219"/>
    </row>
    <row r="138" spans="1:4" x14ac:dyDescent="0.3">
      <c r="A138" s="37"/>
      <c r="B138" s="37"/>
      <c r="C138" s="37"/>
      <c r="D138" s="219"/>
    </row>
    <row r="139" spans="1:4" x14ac:dyDescent="0.3">
      <c r="A139" s="37"/>
      <c r="B139" s="37"/>
      <c r="C139" s="37"/>
      <c r="D139" s="219"/>
    </row>
    <row r="140" spans="1:4" x14ac:dyDescent="0.3">
      <c r="A140" s="37"/>
      <c r="B140" s="37"/>
      <c r="C140" s="37"/>
      <c r="D140" s="219"/>
    </row>
    <row r="141" spans="1:4" x14ac:dyDescent="0.3">
      <c r="A141" s="37"/>
      <c r="B141" s="37"/>
      <c r="C141" s="37"/>
      <c r="D141" s="219"/>
    </row>
    <row r="142" spans="1:4" x14ac:dyDescent="0.3">
      <c r="A142" s="37"/>
      <c r="B142" s="37"/>
      <c r="C142" s="37"/>
      <c r="D142" s="219"/>
    </row>
    <row r="143" spans="1:4" x14ac:dyDescent="0.3">
      <c r="A143" s="37"/>
      <c r="B143" s="37"/>
      <c r="C143" s="37"/>
      <c r="D143" s="219"/>
    </row>
    <row r="144" spans="1:4" ht="14.5" thickBot="1" x14ac:dyDescent="0.35">
      <c r="A144" s="37"/>
      <c r="B144" s="37"/>
      <c r="C144" s="37"/>
      <c r="D144" s="219"/>
    </row>
    <row r="145" spans="1:9" x14ac:dyDescent="0.3">
      <c r="A145" s="8" t="s">
        <v>112</v>
      </c>
      <c r="B145" s="9" t="s">
        <v>68</v>
      </c>
      <c r="C145" s="9" t="s">
        <v>49</v>
      </c>
      <c r="D145" s="58" t="s">
        <v>50</v>
      </c>
      <c r="F145" s="8" t="s">
        <v>113</v>
      </c>
      <c r="G145" s="9" t="s">
        <v>114</v>
      </c>
      <c r="H145" s="58" t="s">
        <v>50</v>
      </c>
    </row>
    <row r="146" spans="1:9" x14ac:dyDescent="0.3">
      <c r="A146" s="25" t="s">
        <v>71</v>
      </c>
      <c r="B146" s="15" t="s">
        <v>72</v>
      </c>
      <c r="C146" s="15">
        <v>2</v>
      </c>
      <c r="D146" s="162">
        <f>C146/13</f>
        <v>0.15384615384615385</v>
      </c>
      <c r="F146" s="25" t="s">
        <v>72</v>
      </c>
      <c r="G146" s="15">
        <v>4</v>
      </c>
      <c r="H146" s="162">
        <f t="shared" ref="H146:H150" si="13">G146/13</f>
        <v>0.30769230769230771</v>
      </c>
    </row>
    <row r="147" spans="1:9" x14ac:dyDescent="0.3">
      <c r="A147" s="25" t="s">
        <v>75</v>
      </c>
      <c r="B147" s="15" t="s">
        <v>72</v>
      </c>
      <c r="C147" s="15">
        <v>2</v>
      </c>
      <c r="D147" s="162">
        <f t="shared" ref="D147:D153" si="14">C147/13</f>
        <v>0.15384615384615385</v>
      </c>
      <c r="E147" s="51"/>
      <c r="F147" s="25" t="s">
        <v>74</v>
      </c>
      <c r="G147" s="15">
        <v>0</v>
      </c>
      <c r="H147" s="162">
        <f t="shared" si="13"/>
        <v>0</v>
      </c>
      <c r="I147" s="77"/>
    </row>
    <row r="148" spans="1:9" x14ac:dyDescent="0.3">
      <c r="A148" s="25" t="s">
        <v>92</v>
      </c>
      <c r="B148" s="15" t="s">
        <v>76</v>
      </c>
      <c r="C148" s="15">
        <v>0</v>
      </c>
      <c r="D148" s="162">
        <f t="shared" si="14"/>
        <v>0</v>
      </c>
      <c r="F148" s="25" t="s">
        <v>76</v>
      </c>
      <c r="G148" s="15">
        <v>1</v>
      </c>
      <c r="H148" s="162">
        <f t="shared" si="13"/>
        <v>7.6923076923076927E-2</v>
      </c>
    </row>
    <row r="149" spans="1:9" x14ac:dyDescent="0.3">
      <c r="A149" s="25" t="s">
        <v>93</v>
      </c>
      <c r="B149" s="15" t="s">
        <v>76</v>
      </c>
      <c r="C149" s="15">
        <v>1</v>
      </c>
      <c r="D149" s="162">
        <f t="shared" si="14"/>
        <v>7.6923076923076927E-2</v>
      </c>
      <c r="F149" s="25" t="s">
        <v>78</v>
      </c>
      <c r="G149" s="15">
        <v>0</v>
      </c>
      <c r="H149" s="162">
        <f t="shared" si="13"/>
        <v>0</v>
      </c>
    </row>
    <row r="150" spans="1:9" x14ac:dyDescent="0.3">
      <c r="A150" s="25" t="s">
        <v>138</v>
      </c>
      <c r="B150" s="15" t="s">
        <v>81</v>
      </c>
      <c r="C150" s="15">
        <v>1</v>
      </c>
      <c r="D150" s="162">
        <f t="shared" si="14"/>
        <v>7.6923076923076927E-2</v>
      </c>
      <c r="F150" s="25" t="s">
        <v>79</v>
      </c>
      <c r="G150" s="15">
        <v>0</v>
      </c>
      <c r="H150" s="162">
        <f t="shared" si="13"/>
        <v>0</v>
      </c>
    </row>
    <row r="151" spans="1:9" ht="14.5" thickBot="1" x14ac:dyDescent="0.35">
      <c r="A151" s="25" t="s">
        <v>106</v>
      </c>
      <c r="B151" s="15" t="s">
        <v>81</v>
      </c>
      <c r="C151" s="15">
        <v>0</v>
      </c>
      <c r="D151" s="162">
        <f t="shared" si="14"/>
        <v>0</v>
      </c>
      <c r="F151" s="34" t="s">
        <v>81</v>
      </c>
      <c r="G151" s="24">
        <v>8</v>
      </c>
      <c r="H151" s="184">
        <f>G151/13</f>
        <v>0.61538461538461542</v>
      </c>
    </row>
    <row r="152" spans="1:9" x14ac:dyDescent="0.3">
      <c r="A152" s="25" t="s">
        <v>107</v>
      </c>
      <c r="B152" s="15" t="s">
        <v>81</v>
      </c>
      <c r="C152" s="15">
        <v>7</v>
      </c>
      <c r="D152" s="162">
        <f t="shared" si="14"/>
        <v>0.53846153846153844</v>
      </c>
      <c r="F152" s="45"/>
      <c r="G152" s="45"/>
      <c r="H152" s="170"/>
    </row>
    <row r="153" spans="1:9" x14ac:dyDescent="0.3">
      <c r="A153" s="25" t="s">
        <v>108</v>
      </c>
      <c r="B153" s="15" t="s">
        <v>81</v>
      </c>
      <c r="C153" s="15">
        <v>0</v>
      </c>
      <c r="D153" s="162">
        <f t="shared" si="14"/>
        <v>0</v>
      </c>
      <c r="F153" s="45"/>
      <c r="G153" s="45"/>
      <c r="H153" s="170"/>
    </row>
    <row r="154" spans="1:9" ht="14.5" thickBot="1" x14ac:dyDescent="0.35">
      <c r="A154" s="34" t="s">
        <v>109</v>
      </c>
      <c r="B154" s="24" t="s">
        <v>110</v>
      </c>
      <c r="C154" s="24">
        <v>2</v>
      </c>
      <c r="D154" s="169" t="s">
        <v>111</v>
      </c>
    </row>
    <row r="155" spans="1:9" x14ac:dyDescent="0.3">
      <c r="A155" s="37"/>
      <c r="B155" s="37"/>
      <c r="C155" s="37"/>
      <c r="D155" s="219"/>
    </row>
    <row r="156" spans="1:9" x14ac:dyDescent="0.3">
      <c r="A156" s="37"/>
      <c r="B156" s="37"/>
      <c r="C156" s="37"/>
      <c r="D156" s="219"/>
    </row>
    <row r="157" spans="1:9" x14ac:dyDescent="0.3">
      <c r="A157" s="37"/>
      <c r="B157" s="37"/>
      <c r="C157" s="37"/>
      <c r="D157" s="219"/>
    </row>
    <row r="158" spans="1:9" x14ac:dyDescent="0.3">
      <c r="A158" s="37"/>
      <c r="B158" s="37"/>
      <c r="C158" s="37"/>
      <c r="D158" s="219"/>
    </row>
    <row r="159" spans="1:9" x14ac:dyDescent="0.3">
      <c r="A159" s="37"/>
      <c r="B159" s="37"/>
      <c r="C159" s="37"/>
      <c r="D159" s="219"/>
    </row>
    <row r="160" spans="1:9" x14ac:dyDescent="0.3">
      <c r="A160" s="37"/>
      <c r="B160" s="37"/>
      <c r="C160" s="37"/>
      <c r="D160" s="219"/>
    </row>
    <row r="161" spans="1:8" x14ac:dyDescent="0.3">
      <c r="A161" s="37"/>
      <c r="B161" s="37"/>
      <c r="C161" s="37"/>
      <c r="D161" s="219"/>
    </row>
    <row r="162" spans="1:8" x14ac:dyDescent="0.3">
      <c r="A162" s="37"/>
      <c r="B162" s="37"/>
      <c r="C162" s="37"/>
      <c r="D162" s="219"/>
    </row>
    <row r="163" spans="1:8" x14ac:dyDescent="0.3">
      <c r="A163" s="37"/>
      <c r="B163" s="37"/>
      <c r="C163" s="37"/>
      <c r="D163" s="219"/>
    </row>
    <row r="164" spans="1:8" x14ac:dyDescent="0.3">
      <c r="A164" s="37"/>
      <c r="B164" s="37"/>
      <c r="C164" s="37"/>
      <c r="D164" s="219"/>
    </row>
    <row r="165" spans="1:8" x14ac:dyDescent="0.3">
      <c r="A165" s="37"/>
      <c r="B165" s="37"/>
      <c r="C165" s="37"/>
      <c r="D165" s="219"/>
    </row>
    <row r="166" spans="1:8" x14ac:dyDescent="0.3">
      <c r="A166" s="37"/>
      <c r="B166" s="37"/>
      <c r="C166" s="37"/>
      <c r="D166" s="219"/>
    </row>
    <row r="167" spans="1:8" x14ac:dyDescent="0.3">
      <c r="A167" s="37"/>
      <c r="B167" s="37"/>
      <c r="C167" s="37"/>
      <c r="D167" s="219"/>
    </row>
    <row r="168" spans="1:8" x14ac:dyDescent="0.3">
      <c r="A168" s="37"/>
      <c r="B168" s="37"/>
      <c r="C168" s="37"/>
      <c r="D168" s="219"/>
    </row>
    <row r="169" spans="1:8" x14ac:dyDescent="0.3">
      <c r="A169" s="37"/>
      <c r="B169" s="37"/>
      <c r="C169" s="37"/>
      <c r="D169" s="219"/>
    </row>
    <row r="170" spans="1:8" x14ac:dyDescent="0.3">
      <c r="A170" s="37"/>
      <c r="B170" s="37"/>
      <c r="C170" s="37"/>
      <c r="D170" s="219"/>
    </row>
    <row r="171" spans="1:8" x14ac:dyDescent="0.3">
      <c r="A171" s="37"/>
      <c r="B171" s="37"/>
      <c r="C171" s="37"/>
      <c r="D171" s="219"/>
    </row>
    <row r="172" spans="1:8" x14ac:dyDescent="0.3">
      <c r="A172" s="37"/>
      <c r="B172" s="37"/>
      <c r="C172" s="37"/>
      <c r="D172" s="219"/>
    </row>
    <row r="173" spans="1:8" ht="14.5" thickBot="1" x14ac:dyDescent="0.35">
      <c r="A173" s="37"/>
      <c r="B173" s="37"/>
      <c r="C173" s="37"/>
      <c r="D173" s="219"/>
    </row>
    <row r="174" spans="1:8" ht="14.5" thickBot="1" x14ac:dyDescent="0.35">
      <c r="A174" s="8" t="s">
        <v>119</v>
      </c>
      <c r="B174" s="9" t="s">
        <v>68</v>
      </c>
      <c r="C174" s="9" t="s">
        <v>49</v>
      </c>
      <c r="D174" s="58" t="s">
        <v>50</v>
      </c>
      <c r="F174" s="163" t="s">
        <v>120</v>
      </c>
      <c r="G174" s="9" t="s">
        <v>114</v>
      </c>
      <c r="H174" s="58" t="s">
        <v>50</v>
      </c>
    </row>
    <row r="175" spans="1:8" ht="14.5" thickBot="1" x14ac:dyDescent="0.35">
      <c r="A175" s="34" t="s">
        <v>71</v>
      </c>
      <c r="B175" s="24" t="s">
        <v>72</v>
      </c>
      <c r="C175" s="24">
        <v>1</v>
      </c>
      <c r="D175" s="184">
        <f>C175/1</f>
        <v>1</v>
      </c>
      <c r="F175" s="34" t="s">
        <v>72</v>
      </c>
      <c r="G175" s="24">
        <v>1</v>
      </c>
      <c r="H175" s="227">
        <f>G175/1</f>
        <v>1</v>
      </c>
    </row>
    <row r="176" spans="1:8" x14ac:dyDescent="0.3">
      <c r="A176" s="37"/>
      <c r="B176" s="37"/>
      <c r="C176" s="37"/>
      <c r="D176" s="186"/>
      <c r="F176" s="37"/>
      <c r="G176" s="37"/>
      <c r="H176" s="186"/>
    </row>
    <row r="177" spans="1:8" x14ac:dyDescent="0.3">
      <c r="A177" s="37"/>
      <c r="B177" s="37"/>
      <c r="C177" s="37"/>
      <c r="D177" s="186"/>
      <c r="F177" s="37"/>
      <c r="G177" s="37"/>
      <c r="H177" s="186"/>
    </row>
    <row r="178" spans="1:8" x14ac:dyDescent="0.3">
      <c r="A178" s="37"/>
      <c r="B178" s="37"/>
      <c r="C178" s="37"/>
      <c r="D178" s="186"/>
      <c r="F178" s="37"/>
      <c r="G178" s="37"/>
      <c r="H178" s="186"/>
    </row>
    <row r="179" spans="1:8" x14ac:dyDescent="0.3">
      <c r="A179" s="37"/>
      <c r="B179" s="37"/>
      <c r="C179" s="37"/>
      <c r="D179" s="186"/>
      <c r="F179" s="37"/>
      <c r="G179" s="37"/>
      <c r="H179" s="186"/>
    </row>
    <row r="180" spans="1:8" x14ac:dyDescent="0.3">
      <c r="A180" s="37"/>
      <c r="B180" s="37"/>
      <c r="C180" s="37"/>
      <c r="D180" s="186"/>
      <c r="F180" s="37"/>
      <c r="G180" s="37"/>
      <c r="H180" s="186"/>
    </row>
    <row r="181" spans="1:8" x14ac:dyDescent="0.3">
      <c r="A181" s="37"/>
      <c r="B181" s="37"/>
      <c r="C181" s="37"/>
      <c r="D181" s="186"/>
      <c r="F181" s="37"/>
      <c r="G181" s="37"/>
      <c r="H181" s="186"/>
    </row>
    <row r="182" spans="1:8" x14ac:dyDescent="0.3">
      <c r="A182" s="37"/>
      <c r="B182" s="37"/>
      <c r="C182" s="37"/>
      <c r="D182" s="186"/>
      <c r="F182" s="37"/>
      <c r="G182" s="37"/>
      <c r="H182" s="186"/>
    </row>
    <row r="183" spans="1:8" x14ac:dyDescent="0.3">
      <c r="A183" s="37"/>
      <c r="B183" s="37"/>
      <c r="C183" s="37"/>
      <c r="D183" s="186"/>
      <c r="F183" s="37"/>
      <c r="G183" s="37"/>
      <c r="H183" s="186"/>
    </row>
    <row r="184" spans="1:8" x14ac:dyDescent="0.3">
      <c r="A184" s="37"/>
      <c r="B184" s="37"/>
      <c r="C184" s="37"/>
      <c r="D184" s="186"/>
      <c r="F184" s="37"/>
      <c r="G184" s="37"/>
      <c r="H184" s="186"/>
    </row>
    <row r="185" spans="1:8" x14ac:dyDescent="0.3">
      <c r="A185" s="37"/>
      <c r="B185" s="37"/>
      <c r="C185" s="37"/>
      <c r="D185" s="186"/>
      <c r="F185" s="37"/>
      <c r="G185" s="37"/>
      <c r="H185" s="186"/>
    </row>
    <row r="186" spans="1:8" x14ac:dyDescent="0.3">
      <c r="A186" s="37"/>
      <c r="B186" s="37"/>
      <c r="C186" s="37"/>
      <c r="D186" s="186"/>
      <c r="F186" s="37"/>
      <c r="G186" s="37"/>
      <c r="H186" s="186"/>
    </row>
    <row r="187" spans="1:8" x14ac:dyDescent="0.3">
      <c r="A187" s="37"/>
      <c r="B187" s="37"/>
      <c r="C187" s="37"/>
      <c r="D187" s="186"/>
      <c r="F187" s="37"/>
      <c r="G187" s="37"/>
      <c r="H187" s="186"/>
    </row>
    <row r="188" spans="1:8" x14ac:dyDescent="0.3">
      <c r="A188" s="37"/>
      <c r="B188" s="37"/>
      <c r="C188" s="37"/>
      <c r="D188" s="186"/>
      <c r="F188" s="37"/>
      <c r="G188" s="37"/>
      <c r="H188" s="186"/>
    </row>
    <row r="189" spans="1:8" x14ac:dyDescent="0.3">
      <c r="A189" s="37"/>
      <c r="B189" s="37"/>
      <c r="C189" s="37"/>
      <c r="D189" s="186"/>
      <c r="F189" s="37"/>
      <c r="G189" s="37"/>
      <c r="H189" s="186"/>
    </row>
    <row r="190" spans="1:8" x14ac:dyDescent="0.3">
      <c r="A190" s="37"/>
      <c r="B190" s="37"/>
      <c r="C190" s="37"/>
      <c r="D190" s="186"/>
      <c r="F190" s="37"/>
      <c r="G190" s="37"/>
      <c r="H190" s="186"/>
    </row>
    <row r="191" spans="1:8" x14ac:dyDescent="0.3">
      <c r="A191" s="37"/>
      <c r="B191" s="37"/>
      <c r="C191" s="37"/>
      <c r="D191" s="186"/>
      <c r="F191" s="37"/>
      <c r="G191" s="37"/>
      <c r="H191" s="186"/>
    </row>
    <row r="192" spans="1:8" x14ac:dyDescent="0.3">
      <c r="A192" s="37"/>
      <c r="B192" s="37"/>
      <c r="C192" s="37"/>
      <c r="D192" s="186"/>
      <c r="F192" s="37"/>
      <c r="G192" s="37"/>
      <c r="H192" s="186"/>
    </row>
    <row r="193" spans="1:11" x14ac:dyDescent="0.3">
      <c r="A193" s="37"/>
      <c r="B193" s="37"/>
      <c r="C193" s="37"/>
      <c r="D193" s="186"/>
      <c r="F193" s="37"/>
      <c r="G193" s="37"/>
      <c r="H193" s="186"/>
    </row>
    <row r="194" spans="1:11" x14ac:dyDescent="0.3">
      <c r="A194" s="37"/>
      <c r="B194" s="37"/>
      <c r="C194" s="37"/>
      <c r="D194" s="186"/>
      <c r="F194" s="37"/>
      <c r="G194" s="37"/>
      <c r="H194" s="186"/>
    </row>
    <row r="195" spans="1:11" ht="14.5" thickBot="1" x14ac:dyDescent="0.35">
      <c r="A195" s="37"/>
      <c r="B195" s="37"/>
      <c r="C195" s="37"/>
      <c r="D195" s="186"/>
      <c r="F195" s="37"/>
      <c r="G195" s="37"/>
      <c r="H195" s="186"/>
    </row>
    <row r="196" spans="1:11" x14ac:dyDescent="0.3">
      <c r="A196" s="8" t="s">
        <v>126</v>
      </c>
      <c r="B196" s="9" t="s">
        <v>68</v>
      </c>
      <c r="C196" s="9" t="s">
        <v>49</v>
      </c>
      <c r="D196" s="58" t="s">
        <v>50</v>
      </c>
      <c r="F196" s="8" t="s">
        <v>127</v>
      </c>
      <c r="G196" s="9" t="s">
        <v>114</v>
      </c>
      <c r="H196" s="58" t="s">
        <v>50</v>
      </c>
    </row>
    <row r="197" spans="1:11" x14ac:dyDescent="0.3">
      <c r="A197" s="25" t="s">
        <v>71</v>
      </c>
      <c r="B197" s="15" t="s">
        <v>72</v>
      </c>
      <c r="C197" s="15">
        <v>3</v>
      </c>
      <c r="D197" s="162">
        <f>C197/104</f>
        <v>2.8846153846153848E-2</v>
      </c>
      <c r="F197" s="25" t="s">
        <v>72</v>
      </c>
      <c r="G197" s="15">
        <v>6</v>
      </c>
      <c r="H197" s="162">
        <f t="shared" ref="H197:H202" si="15">G197/104</f>
        <v>5.7692307692307696E-2</v>
      </c>
    </row>
    <row r="198" spans="1:11" x14ac:dyDescent="0.3">
      <c r="A198" s="25" t="s">
        <v>75</v>
      </c>
      <c r="B198" s="15" t="s">
        <v>72</v>
      </c>
      <c r="C198" s="15">
        <v>3</v>
      </c>
      <c r="D198" s="162">
        <f t="shared" ref="D198:D220" si="16">C198/104</f>
        <v>2.8846153846153848E-2</v>
      </c>
      <c r="F198" s="25" t="s">
        <v>74</v>
      </c>
      <c r="G198" s="15">
        <v>1</v>
      </c>
      <c r="H198" s="162">
        <f t="shared" si="15"/>
        <v>9.6153846153846159E-3</v>
      </c>
    </row>
    <row r="199" spans="1:11" x14ac:dyDescent="0.3">
      <c r="A199" s="25" t="s">
        <v>74</v>
      </c>
      <c r="B199" s="15" t="s">
        <v>74</v>
      </c>
      <c r="C199" s="15">
        <v>1</v>
      </c>
      <c r="D199" s="162">
        <f t="shared" si="16"/>
        <v>9.6153846153846159E-3</v>
      </c>
      <c r="F199" s="25" t="s">
        <v>76</v>
      </c>
      <c r="G199" s="15">
        <v>18</v>
      </c>
      <c r="H199" s="162">
        <f t="shared" si="15"/>
        <v>0.17307692307692307</v>
      </c>
    </row>
    <row r="200" spans="1:11" x14ac:dyDescent="0.3">
      <c r="A200" s="25" t="s">
        <v>115</v>
      </c>
      <c r="B200" s="15" t="s">
        <v>76</v>
      </c>
      <c r="C200" s="15">
        <v>1</v>
      </c>
      <c r="D200" s="162">
        <f t="shared" si="16"/>
        <v>9.6153846153846159E-3</v>
      </c>
      <c r="F200" s="25" t="s">
        <v>78</v>
      </c>
      <c r="G200" s="15">
        <v>33</v>
      </c>
      <c r="H200" s="162">
        <f t="shared" si="15"/>
        <v>0.31730769230769229</v>
      </c>
      <c r="I200" s="45"/>
      <c r="J200" s="45"/>
      <c r="K200" s="45"/>
    </row>
    <row r="201" spans="1:11" x14ac:dyDescent="0.3">
      <c r="A201" s="25" t="s">
        <v>87</v>
      </c>
      <c r="B201" s="15" t="s">
        <v>76</v>
      </c>
      <c r="C201" s="15">
        <v>2</v>
      </c>
      <c r="D201" s="162">
        <f t="shared" si="16"/>
        <v>1.9230769230769232E-2</v>
      </c>
      <c r="F201" s="25" t="s">
        <v>79</v>
      </c>
      <c r="G201" s="15">
        <v>25</v>
      </c>
      <c r="H201" s="162">
        <f t="shared" si="15"/>
        <v>0.24038461538461539</v>
      </c>
      <c r="I201" s="45"/>
      <c r="J201" s="45"/>
      <c r="K201" s="45"/>
    </row>
    <row r="202" spans="1:11" ht="14.5" thickBot="1" x14ac:dyDescent="0.35">
      <c r="A202" s="25" t="s">
        <v>88</v>
      </c>
      <c r="B202" s="15" t="s">
        <v>76</v>
      </c>
      <c r="C202" s="15">
        <v>1</v>
      </c>
      <c r="D202" s="162">
        <f t="shared" si="16"/>
        <v>9.6153846153846159E-3</v>
      </c>
      <c r="F202" s="34" t="s">
        <v>81</v>
      </c>
      <c r="G202" s="24">
        <v>21</v>
      </c>
      <c r="H202" s="184">
        <f t="shared" si="15"/>
        <v>0.20192307692307693</v>
      </c>
      <c r="I202" s="45"/>
      <c r="J202" s="45"/>
      <c r="K202" s="45"/>
    </row>
    <row r="203" spans="1:11" x14ac:dyDescent="0.3">
      <c r="A203" s="25" t="s">
        <v>89</v>
      </c>
      <c r="B203" s="15" t="s">
        <v>76</v>
      </c>
      <c r="C203" s="15">
        <v>1</v>
      </c>
      <c r="D203" s="162">
        <f t="shared" si="16"/>
        <v>9.6153846153846159E-3</v>
      </c>
      <c r="E203" s="44"/>
    </row>
    <row r="204" spans="1:11" x14ac:dyDescent="0.3">
      <c r="A204" s="25" t="s">
        <v>90</v>
      </c>
      <c r="B204" s="15" t="s">
        <v>76</v>
      </c>
      <c r="C204" s="15">
        <v>8</v>
      </c>
      <c r="D204" s="162">
        <f t="shared" si="16"/>
        <v>7.6923076923076927E-2</v>
      </c>
      <c r="E204" s="45"/>
    </row>
    <row r="205" spans="1:11" x14ac:dyDescent="0.3">
      <c r="A205" s="25" t="s">
        <v>91</v>
      </c>
      <c r="B205" s="15" t="s">
        <v>76</v>
      </c>
      <c r="C205" s="15">
        <v>1</v>
      </c>
      <c r="D205" s="162">
        <f t="shared" si="16"/>
        <v>9.6153846153846159E-3</v>
      </c>
      <c r="E205" s="45"/>
    </row>
    <row r="206" spans="1:11" x14ac:dyDescent="0.3">
      <c r="A206" s="25" t="s">
        <v>92</v>
      </c>
      <c r="B206" s="15" t="s">
        <v>76</v>
      </c>
      <c r="C206" s="15">
        <v>2</v>
      </c>
      <c r="D206" s="162">
        <f t="shared" si="16"/>
        <v>1.9230769230769232E-2</v>
      </c>
      <c r="E206" s="45"/>
    </row>
    <row r="207" spans="1:11" x14ac:dyDescent="0.3">
      <c r="A207" s="25" t="s">
        <v>93</v>
      </c>
      <c r="B207" s="15" t="s">
        <v>76</v>
      </c>
      <c r="C207" s="15">
        <v>2</v>
      </c>
      <c r="D207" s="162">
        <f t="shared" si="16"/>
        <v>1.9230769230769232E-2</v>
      </c>
      <c r="E207" s="45"/>
    </row>
    <row r="208" spans="1:11" x14ac:dyDescent="0.3">
      <c r="A208" s="25" t="s">
        <v>94</v>
      </c>
      <c r="B208" s="15" t="s">
        <v>78</v>
      </c>
      <c r="C208" s="15">
        <v>1</v>
      </c>
      <c r="D208" s="162">
        <f t="shared" si="16"/>
        <v>9.6153846153846159E-3</v>
      </c>
      <c r="E208" s="45"/>
    </row>
    <row r="209" spans="1:5" x14ac:dyDescent="0.3">
      <c r="A209" s="25" t="s">
        <v>95</v>
      </c>
      <c r="B209" s="15" t="s">
        <v>78</v>
      </c>
      <c r="C209" s="15">
        <v>11</v>
      </c>
      <c r="D209" s="162">
        <f t="shared" si="16"/>
        <v>0.10576923076923077</v>
      </c>
      <c r="E209" s="45"/>
    </row>
    <row r="210" spans="1:5" x14ac:dyDescent="0.3">
      <c r="A210" s="25" t="s">
        <v>96</v>
      </c>
      <c r="B210" s="15" t="s">
        <v>78</v>
      </c>
      <c r="C210" s="15">
        <v>21</v>
      </c>
      <c r="D210" s="162">
        <f t="shared" si="16"/>
        <v>0.20192307692307693</v>
      </c>
      <c r="E210" s="45"/>
    </row>
    <row r="211" spans="1:5" x14ac:dyDescent="0.3">
      <c r="A211" s="25" t="s">
        <v>97</v>
      </c>
      <c r="B211" s="15" t="s">
        <v>79</v>
      </c>
      <c r="C211" s="15">
        <v>9</v>
      </c>
      <c r="D211" s="162">
        <f t="shared" si="16"/>
        <v>8.6538461538461536E-2</v>
      </c>
      <c r="E211" s="45"/>
    </row>
    <row r="212" spans="1:5" x14ac:dyDescent="0.3">
      <c r="A212" s="25" t="s">
        <v>98</v>
      </c>
      <c r="B212" s="15" t="s">
        <v>79</v>
      </c>
      <c r="C212" s="15">
        <v>1</v>
      </c>
      <c r="D212" s="162">
        <f t="shared" si="16"/>
        <v>9.6153846153846159E-3</v>
      </c>
      <c r="E212" s="45"/>
    </row>
    <row r="213" spans="1:5" x14ac:dyDescent="0.3">
      <c r="A213" s="25" t="s">
        <v>99</v>
      </c>
      <c r="B213" s="15" t="s">
        <v>79</v>
      </c>
      <c r="C213" s="15">
        <v>2</v>
      </c>
      <c r="D213" s="162">
        <f t="shared" si="16"/>
        <v>1.9230769230769232E-2</v>
      </c>
    </row>
    <row r="214" spans="1:5" x14ac:dyDescent="0.3">
      <c r="A214" s="25" t="s">
        <v>100</v>
      </c>
      <c r="B214" s="15" t="s">
        <v>79</v>
      </c>
      <c r="C214" s="15">
        <v>4</v>
      </c>
      <c r="D214" s="162">
        <f t="shared" si="16"/>
        <v>3.8461538461538464E-2</v>
      </c>
    </row>
    <row r="215" spans="1:5" x14ac:dyDescent="0.3">
      <c r="A215" s="25" t="s">
        <v>101</v>
      </c>
      <c r="B215" s="15" t="s">
        <v>79</v>
      </c>
      <c r="C215" s="15">
        <v>6</v>
      </c>
      <c r="D215" s="162">
        <f t="shared" si="16"/>
        <v>5.7692307692307696E-2</v>
      </c>
    </row>
    <row r="216" spans="1:5" x14ac:dyDescent="0.3">
      <c r="A216" s="25" t="s">
        <v>102</v>
      </c>
      <c r="B216" s="15" t="s">
        <v>79</v>
      </c>
      <c r="C216" s="15">
        <v>2</v>
      </c>
      <c r="D216" s="162">
        <f t="shared" si="16"/>
        <v>1.9230769230769232E-2</v>
      </c>
    </row>
    <row r="217" spans="1:5" x14ac:dyDescent="0.3">
      <c r="A217" s="25" t="s">
        <v>103</v>
      </c>
      <c r="B217" s="15" t="s">
        <v>79</v>
      </c>
      <c r="C217" s="15">
        <v>1</v>
      </c>
      <c r="D217" s="162">
        <f t="shared" si="16"/>
        <v>9.6153846153846159E-3</v>
      </c>
    </row>
    <row r="218" spans="1:5" x14ac:dyDescent="0.3">
      <c r="A218" s="25" t="s">
        <v>138</v>
      </c>
      <c r="B218" s="15" t="s">
        <v>81</v>
      </c>
      <c r="C218" s="15">
        <v>0</v>
      </c>
      <c r="D218" s="162">
        <f t="shared" si="16"/>
        <v>0</v>
      </c>
    </row>
    <row r="219" spans="1:5" x14ac:dyDescent="0.3">
      <c r="A219" s="25" t="s">
        <v>107</v>
      </c>
      <c r="B219" s="15" t="s">
        <v>81</v>
      </c>
      <c r="C219" s="15">
        <v>16</v>
      </c>
      <c r="D219" s="162">
        <f t="shared" si="16"/>
        <v>0.15384615384615385</v>
      </c>
    </row>
    <row r="220" spans="1:5" x14ac:dyDescent="0.3">
      <c r="A220" s="25" t="s">
        <v>108</v>
      </c>
      <c r="B220" s="15" t="s">
        <v>81</v>
      </c>
      <c r="C220" s="15">
        <v>5</v>
      </c>
      <c r="D220" s="162">
        <f t="shared" si="16"/>
        <v>4.807692307692308E-2</v>
      </c>
    </row>
    <row r="221" spans="1:5" ht="14.5" thickBot="1" x14ac:dyDescent="0.35">
      <c r="A221" s="34" t="s">
        <v>130</v>
      </c>
      <c r="B221" s="24" t="s">
        <v>125</v>
      </c>
      <c r="C221" s="24">
        <v>11</v>
      </c>
      <c r="D221" s="169" t="s">
        <v>111</v>
      </c>
    </row>
    <row r="222" spans="1:5" x14ac:dyDescent="0.3">
      <c r="C222" s="17"/>
    </row>
    <row r="223" spans="1:5" x14ac:dyDescent="0.3">
      <c r="C223" s="17"/>
    </row>
    <row r="224" spans="1:5" ht="14.5" thickBot="1" x14ac:dyDescent="0.35"/>
    <row r="225" spans="1:8" x14ac:dyDescent="0.3">
      <c r="A225" s="8" t="s">
        <v>131</v>
      </c>
      <c r="B225" s="9" t="s">
        <v>68</v>
      </c>
      <c r="C225" s="9" t="s">
        <v>49</v>
      </c>
      <c r="D225" s="58" t="s">
        <v>50</v>
      </c>
      <c r="F225" s="8" t="s">
        <v>132</v>
      </c>
      <c r="G225" s="9" t="s">
        <v>114</v>
      </c>
      <c r="H225" s="58" t="s">
        <v>50</v>
      </c>
    </row>
    <row r="226" spans="1:8" x14ac:dyDescent="0.3">
      <c r="A226" s="25" t="s">
        <v>71</v>
      </c>
      <c r="B226" s="15" t="s">
        <v>72</v>
      </c>
      <c r="C226" s="15">
        <v>8</v>
      </c>
      <c r="D226" s="162">
        <f>C226/90</f>
        <v>8.8888888888888892E-2</v>
      </c>
      <c r="F226" s="25" t="s">
        <v>72</v>
      </c>
      <c r="G226" s="15">
        <v>14</v>
      </c>
      <c r="H226" s="162">
        <f t="shared" ref="H226:H230" si="17">G226/90</f>
        <v>0.15555555555555556</v>
      </c>
    </row>
    <row r="227" spans="1:8" x14ac:dyDescent="0.3">
      <c r="A227" s="25" t="s">
        <v>75</v>
      </c>
      <c r="B227" s="15" t="s">
        <v>72</v>
      </c>
      <c r="C227" s="15">
        <v>3</v>
      </c>
      <c r="D227" s="162">
        <f t="shared" ref="D227:D245" si="18">C227/90</f>
        <v>3.3333333333333333E-2</v>
      </c>
      <c r="F227" s="25" t="s">
        <v>76</v>
      </c>
      <c r="G227" s="15">
        <v>12</v>
      </c>
      <c r="H227" s="162">
        <f t="shared" si="17"/>
        <v>0.13333333333333333</v>
      </c>
    </row>
    <row r="228" spans="1:8" x14ac:dyDescent="0.3">
      <c r="A228" s="25" t="s">
        <v>77</v>
      </c>
      <c r="B228" s="15" t="s">
        <v>72</v>
      </c>
      <c r="C228" s="15">
        <v>3</v>
      </c>
      <c r="D228" s="162">
        <f t="shared" si="18"/>
        <v>3.3333333333333333E-2</v>
      </c>
      <c r="F228" s="25" t="s">
        <v>78</v>
      </c>
      <c r="G228" s="15">
        <v>14</v>
      </c>
      <c r="H228" s="162">
        <f t="shared" si="17"/>
        <v>0.15555555555555556</v>
      </c>
    </row>
    <row r="229" spans="1:8" x14ac:dyDescent="0.3">
      <c r="A229" s="25" t="s">
        <v>115</v>
      </c>
      <c r="B229" s="15" t="s">
        <v>76</v>
      </c>
      <c r="C229" s="15">
        <v>1</v>
      </c>
      <c r="D229" s="162">
        <f t="shared" si="18"/>
        <v>1.1111111111111112E-2</v>
      </c>
      <c r="F229" s="25" t="s">
        <v>79</v>
      </c>
      <c r="G229" s="15">
        <v>16</v>
      </c>
      <c r="H229" s="162">
        <f t="shared" si="17"/>
        <v>0.17777777777777778</v>
      </c>
    </row>
    <row r="230" spans="1:8" ht="14.5" thickBot="1" x14ac:dyDescent="0.35">
      <c r="A230" s="25" t="s">
        <v>85</v>
      </c>
      <c r="B230" s="15" t="s">
        <v>76</v>
      </c>
      <c r="C230" s="15">
        <v>1</v>
      </c>
      <c r="D230" s="162">
        <f t="shared" si="18"/>
        <v>1.1111111111111112E-2</v>
      </c>
      <c r="F230" s="34" t="s">
        <v>81</v>
      </c>
      <c r="G230" s="24">
        <v>34</v>
      </c>
      <c r="H230" s="184">
        <f t="shared" si="17"/>
        <v>0.37777777777777777</v>
      </c>
    </row>
    <row r="231" spans="1:8" x14ac:dyDescent="0.3">
      <c r="A231" s="25" t="s">
        <v>87</v>
      </c>
      <c r="B231" s="15" t="s">
        <v>76</v>
      </c>
      <c r="C231" s="15">
        <v>3</v>
      </c>
      <c r="D231" s="162">
        <f t="shared" si="18"/>
        <v>3.3333333333333333E-2</v>
      </c>
      <c r="F231" s="45"/>
      <c r="G231" s="45"/>
      <c r="H231" s="170"/>
    </row>
    <row r="232" spans="1:8" x14ac:dyDescent="0.3">
      <c r="A232" s="25" t="s">
        <v>90</v>
      </c>
      <c r="B232" s="15" t="s">
        <v>76</v>
      </c>
      <c r="C232" s="15">
        <v>5</v>
      </c>
      <c r="D232" s="162">
        <f t="shared" si="18"/>
        <v>5.5555555555555552E-2</v>
      </c>
      <c r="E232" s="44"/>
      <c r="F232" s="45"/>
      <c r="G232" s="45"/>
      <c r="H232" s="45"/>
    </row>
    <row r="233" spans="1:8" x14ac:dyDescent="0.3">
      <c r="A233" s="25" t="s">
        <v>91</v>
      </c>
      <c r="B233" s="15" t="s">
        <v>76</v>
      </c>
      <c r="C233" s="15">
        <v>1</v>
      </c>
      <c r="D233" s="162">
        <f t="shared" si="18"/>
        <v>1.1111111111111112E-2</v>
      </c>
      <c r="E233" s="45"/>
      <c r="F233" s="45"/>
      <c r="G233" s="45"/>
      <c r="H233" s="45"/>
    </row>
    <row r="234" spans="1:8" x14ac:dyDescent="0.3">
      <c r="A234" s="25" t="s">
        <v>92</v>
      </c>
      <c r="B234" s="15" t="s">
        <v>76</v>
      </c>
      <c r="C234" s="15">
        <v>0</v>
      </c>
      <c r="D234" s="162">
        <f t="shared" si="18"/>
        <v>0</v>
      </c>
      <c r="E234" s="45"/>
    </row>
    <row r="235" spans="1:8" x14ac:dyDescent="0.3">
      <c r="A235" s="25" t="s">
        <v>93</v>
      </c>
      <c r="B235" s="15" t="s">
        <v>76</v>
      </c>
      <c r="C235" s="15">
        <v>1</v>
      </c>
      <c r="D235" s="162">
        <f t="shared" si="18"/>
        <v>1.1111111111111112E-2</v>
      </c>
      <c r="E235" s="45"/>
    </row>
    <row r="236" spans="1:8" x14ac:dyDescent="0.3">
      <c r="A236" s="25" t="s">
        <v>96</v>
      </c>
      <c r="B236" s="15" t="s">
        <v>78</v>
      </c>
      <c r="C236" s="15">
        <v>14</v>
      </c>
      <c r="D236" s="162">
        <f t="shared" si="18"/>
        <v>0.15555555555555556</v>
      </c>
      <c r="E236" s="45"/>
    </row>
    <row r="237" spans="1:8" x14ac:dyDescent="0.3">
      <c r="A237" s="25" t="s">
        <v>97</v>
      </c>
      <c r="B237" s="15" t="s">
        <v>79</v>
      </c>
      <c r="C237" s="15">
        <v>8</v>
      </c>
      <c r="D237" s="162">
        <f t="shared" si="18"/>
        <v>8.8888888888888892E-2</v>
      </c>
      <c r="E237" s="45"/>
    </row>
    <row r="238" spans="1:8" x14ac:dyDescent="0.3">
      <c r="A238" s="25" t="s">
        <v>99</v>
      </c>
      <c r="B238" s="15" t="s">
        <v>79</v>
      </c>
      <c r="C238" s="15">
        <v>1</v>
      </c>
      <c r="D238" s="162">
        <f t="shared" si="18"/>
        <v>1.1111111111111112E-2</v>
      </c>
      <c r="E238" s="45"/>
    </row>
    <row r="239" spans="1:8" x14ac:dyDescent="0.3">
      <c r="A239" s="25" t="s">
        <v>100</v>
      </c>
      <c r="B239" s="15" t="s">
        <v>79</v>
      </c>
      <c r="C239" s="15">
        <v>2</v>
      </c>
      <c r="D239" s="162">
        <f t="shared" si="18"/>
        <v>2.2222222222222223E-2</v>
      </c>
      <c r="E239" s="45"/>
    </row>
    <row r="240" spans="1:8" x14ac:dyDescent="0.3">
      <c r="A240" s="25" t="s">
        <v>101</v>
      </c>
      <c r="B240" s="15" t="s">
        <v>79</v>
      </c>
      <c r="C240" s="15">
        <v>2</v>
      </c>
      <c r="D240" s="162">
        <f t="shared" si="18"/>
        <v>2.2222222222222223E-2</v>
      </c>
    </row>
    <row r="241" spans="1:4" x14ac:dyDescent="0.3">
      <c r="A241" s="25" t="s">
        <v>102</v>
      </c>
      <c r="B241" s="15" t="s">
        <v>79</v>
      </c>
      <c r="C241" s="15">
        <v>1</v>
      </c>
      <c r="D241" s="162">
        <f t="shared" si="18"/>
        <v>1.1111111111111112E-2</v>
      </c>
    </row>
    <row r="242" spans="1:4" x14ac:dyDescent="0.3">
      <c r="A242" s="25" t="s">
        <v>103</v>
      </c>
      <c r="B242" s="15" t="s">
        <v>79</v>
      </c>
      <c r="C242" s="15">
        <v>2</v>
      </c>
      <c r="D242" s="162">
        <f t="shared" si="18"/>
        <v>2.2222222222222223E-2</v>
      </c>
    </row>
    <row r="243" spans="1:4" x14ac:dyDescent="0.3">
      <c r="A243" s="25" t="s">
        <v>138</v>
      </c>
      <c r="B243" s="15" t="s">
        <v>81</v>
      </c>
      <c r="C243" s="15">
        <v>1</v>
      </c>
      <c r="D243" s="162">
        <f t="shared" si="18"/>
        <v>1.1111111111111112E-2</v>
      </c>
    </row>
    <row r="244" spans="1:4" x14ac:dyDescent="0.3">
      <c r="A244" s="25" t="s">
        <v>107</v>
      </c>
      <c r="B244" s="15" t="s">
        <v>81</v>
      </c>
      <c r="C244" s="15">
        <v>17</v>
      </c>
      <c r="D244" s="162">
        <f t="shared" si="18"/>
        <v>0.18888888888888888</v>
      </c>
    </row>
    <row r="245" spans="1:4" x14ac:dyDescent="0.3">
      <c r="A245" s="25" t="s">
        <v>108</v>
      </c>
      <c r="B245" s="15" t="s">
        <v>81</v>
      </c>
      <c r="C245" s="15">
        <v>16</v>
      </c>
      <c r="D245" s="162">
        <f t="shared" si="18"/>
        <v>0.17777777777777778</v>
      </c>
    </row>
    <row r="246" spans="1:4" ht="14.5" thickBot="1" x14ac:dyDescent="0.35">
      <c r="A246" s="34" t="s">
        <v>130</v>
      </c>
      <c r="B246" s="24" t="s">
        <v>125</v>
      </c>
      <c r="C246" s="24">
        <v>12</v>
      </c>
      <c r="D246" s="169" t="s">
        <v>111</v>
      </c>
    </row>
  </sheetData>
  <sheetProtection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92D050"/>
  </sheetPr>
  <dimension ref="A1:I255"/>
  <sheetViews>
    <sheetView showGridLines="0" zoomScale="75" zoomScaleNormal="75" workbookViewId="0">
      <selection activeCell="B15" sqref="B15"/>
    </sheetView>
  </sheetViews>
  <sheetFormatPr defaultColWidth="9" defaultRowHeight="14" x14ac:dyDescent="0.3"/>
  <cols>
    <col min="1" max="1" width="84.81640625" style="13" customWidth="1"/>
    <col min="2" max="2" width="18.54296875" style="13" customWidth="1"/>
    <col min="3" max="5" width="16.54296875" style="13" customWidth="1"/>
    <col min="6" max="6" width="78.26953125" style="13" bestFit="1" customWidth="1"/>
    <col min="7" max="7" width="11" style="13" bestFit="1" customWidth="1"/>
    <col min="8" max="8" width="14" style="13" bestFit="1" customWidth="1"/>
    <col min="9" max="15" width="9" style="13"/>
    <col min="16" max="16" width="9" style="13" customWidth="1"/>
    <col min="17" max="16384" width="9" style="13"/>
  </cols>
  <sheetData>
    <row r="1" spans="1:6" x14ac:dyDescent="0.3">
      <c r="A1" s="3" t="s">
        <v>149</v>
      </c>
      <c r="B1" s="4" t="s">
        <v>1</v>
      </c>
      <c r="C1" s="4" t="s">
        <v>2</v>
      </c>
      <c r="D1" s="4" t="s">
        <v>3</v>
      </c>
      <c r="E1" s="5" t="s">
        <v>4</v>
      </c>
    </row>
    <row r="2" spans="1:6" x14ac:dyDescent="0.3">
      <c r="A2" s="28" t="s">
        <v>5</v>
      </c>
      <c r="B2" s="30">
        <v>12</v>
      </c>
      <c r="C2" s="30">
        <v>12</v>
      </c>
      <c r="D2" s="30">
        <v>12</v>
      </c>
      <c r="E2" s="30">
        <v>12</v>
      </c>
    </row>
    <row r="3" spans="1:6" x14ac:dyDescent="0.3">
      <c r="A3" s="28" t="s">
        <v>6</v>
      </c>
      <c r="B3" s="29">
        <v>12</v>
      </c>
      <c r="C3" s="29">
        <v>12</v>
      </c>
      <c r="D3" s="29">
        <v>11</v>
      </c>
      <c r="E3" s="30">
        <v>11</v>
      </c>
    </row>
    <row r="4" spans="1:6" x14ac:dyDescent="0.3">
      <c r="A4" s="28" t="s">
        <v>7</v>
      </c>
      <c r="B4" s="29">
        <v>11</v>
      </c>
      <c r="C4" s="29">
        <v>11</v>
      </c>
      <c r="D4" s="29">
        <v>11</v>
      </c>
      <c r="E4" s="30">
        <v>11</v>
      </c>
    </row>
    <row r="5" spans="1:6" x14ac:dyDescent="0.3">
      <c r="A5" s="28" t="s">
        <v>8</v>
      </c>
      <c r="B5" s="29">
        <v>7</v>
      </c>
      <c r="C5" s="29">
        <v>7</v>
      </c>
      <c r="D5" s="29">
        <v>6</v>
      </c>
      <c r="E5" s="30">
        <v>6</v>
      </c>
    </row>
    <row r="6" spans="1:6" x14ac:dyDescent="0.3">
      <c r="A6" s="31" t="s">
        <v>9</v>
      </c>
      <c r="B6" s="32">
        <v>6</v>
      </c>
      <c r="C6" s="32">
        <v>6</v>
      </c>
      <c r="D6" s="32">
        <v>6</v>
      </c>
      <c r="E6" s="33">
        <v>6</v>
      </c>
    </row>
    <row r="9" spans="1:6" ht="14.5" thickBot="1" x14ac:dyDescent="0.35"/>
    <row r="10" spans="1:6" x14ac:dyDescent="0.3">
      <c r="A10" s="8" t="s">
        <v>135</v>
      </c>
      <c r="B10" s="9" t="s">
        <v>1</v>
      </c>
      <c r="C10" s="9" t="s">
        <v>2</v>
      </c>
      <c r="D10" s="9" t="s">
        <v>3</v>
      </c>
      <c r="E10" s="58" t="s">
        <v>4</v>
      </c>
    </row>
    <row r="11" spans="1:6" x14ac:dyDescent="0.3">
      <c r="A11" s="10" t="s">
        <v>11</v>
      </c>
      <c r="B11" s="15">
        <v>119</v>
      </c>
      <c r="C11" s="15">
        <v>124</v>
      </c>
      <c r="D11" s="15">
        <v>129</v>
      </c>
      <c r="E11" s="69">
        <v>131</v>
      </c>
    </row>
    <row r="12" spans="1:6" x14ac:dyDescent="0.3">
      <c r="A12" s="10" t="s">
        <v>12</v>
      </c>
      <c r="B12" s="15">
        <v>206</v>
      </c>
      <c r="C12" s="15">
        <v>217</v>
      </c>
      <c r="D12" s="15">
        <v>224</v>
      </c>
      <c r="E12" s="69">
        <v>228</v>
      </c>
    </row>
    <row r="13" spans="1:6" x14ac:dyDescent="0.3">
      <c r="A13" s="10" t="s">
        <v>13</v>
      </c>
      <c r="B13" s="23">
        <v>35510.18</v>
      </c>
      <c r="C13" s="23">
        <v>39560.04</v>
      </c>
      <c r="D13" s="23">
        <v>40726.519999999997</v>
      </c>
      <c r="E13" s="68">
        <v>42112.03</v>
      </c>
    </row>
    <row r="14" spans="1:6" x14ac:dyDescent="0.3">
      <c r="A14" s="10" t="s">
        <v>14</v>
      </c>
      <c r="B14" s="23">
        <f>B13*52/B11</f>
        <v>15517.053445378153</v>
      </c>
      <c r="C14" s="23">
        <f>C13*52/C11</f>
        <v>16589.694193548388</v>
      </c>
      <c r="D14" s="23">
        <f>D13*52/D11</f>
        <v>16416.891782945735</v>
      </c>
      <c r="E14" s="68">
        <f>E13*52/E11</f>
        <v>16716.225648854961</v>
      </c>
    </row>
    <row r="15" spans="1:6" x14ac:dyDescent="0.3">
      <c r="A15" s="10" t="s">
        <v>15</v>
      </c>
      <c r="B15" s="23">
        <f>B13*52</f>
        <v>1846529.36</v>
      </c>
      <c r="C15" s="23">
        <f>C13*52</f>
        <v>2057122.08</v>
      </c>
      <c r="D15" s="23">
        <f>D13*52</f>
        <v>2117779.04</v>
      </c>
      <c r="E15" s="68">
        <f>E13*52</f>
        <v>2189825.56</v>
      </c>
    </row>
    <row r="16" spans="1:6" ht="14.5" thickBot="1" x14ac:dyDescent="0.35">
      <c r="A16" s="114" t="s">
        <v>16</v>
      </c>
      <c r="B16" s="24">
        <v>707</v>
      </c>
      <c r="C16" s="24">
        <v>737</v>
      </c>
      <c r="D16" s="24">
        <v>744</v>
      </c>
      <c r="E16" s="70">
        <v>769</v>
      </c>
      <c r="F16" s="45"/>
    </row>
    <row r="17" spans="1:6" x14ac:dyDescent="0.3">
      <c r="A17" s="112" t="s">
        <v>17</v>
      </c>
      <c r="B17" s="46">
        <v>55</v>
      </c>
      <c r="C17" s="46">
        <v>60</v>
      </c>
      <c r="D17" s="46">
        <v>62</v>
      </c>
      <c r="E17" s="113">
        <v>63</v>
      </c>
      <c r="F17" s="44"/>
    </row>
    <row r="18" spans="1:6" x14ac:dyDescent="0.3">
      <c r="A18" s="25" t="s">
        <v>18</v>
      </c>
      <c r="B18" s="15">
        <v>9</v>
      </c>
      <c r="C18" s="15">
        <v>11</v>
      </c>
      <c r="D18" s="15">
        <v>9</v>
      </c>
      <c r="E18" s="69">
        <v>13</v>
      </c>
      <c r="F18" s="188"/>
    </row>
    <row r="19" spans="1:6" x14ac:dyDescent="0.3">
      <c r="A19" s="78" t="s">
        <v>19</v>
      </c>
      <c r="B19" s="122">
        <f>B18/B17</f>
        <v>0.16363636363636364</v>
      </c>
      <c r="C19" s="122">
        <f>C18/C17</f>
        <v>0.18333333333333332</v>
      </c>
      <c r="D19" s="122">
        <f>D18/D17</f>
        <v>0.14516129032258066</v>
      </c>
      <c r="E19" s="185">
        <f>E18/E17</f>
        <v>0.20634920634920634</v>
      </c>
      <c r="F19" s="180"/>
    </row>
    <row r="20" spans="1:6" ht="14.5" thickBot="1" x14ac:dyDescent="0.35">
      <c r="A20" s="34" t="s">
        <v>20</v>
      </c>
      <c r="B20" s="24">
        <v>31</v>
      </c>
      <c r="C20" s="24">
        <v>33</v>
      </c>
      <c r="D20" s="24">
        <v>34</v>
      </c>
      <c r="E20" s="70">
        <v>34</v>
      </c>
      <c r="F20" s="44"/>
    </row>
    <row r="21" spans="1:6" x14ac:dyDescent="0.3">
      <c r="A21" s="112" t="s">
        <v>21</v>
      </c>
      <c r="B21" s="46">
        <v>15</v>
      </c>
      <c r="C21" s="46">
        <v>17</v>
      </c>
      <c r="D21" s="46">
        <v>21</v>
      </c>
      <c r="E21" s="113">
        <v>23</v>
      </c>
      <c r="F21" s="51"/>
    </row>
    <row r="22" spans="1:6" x14ac:dyDescent="0.3">
      <c r="A22" s="25" t="s">
        <v>136</v>
      </c>
      <c r="B22" s="15">
        <v>4</v>
      </c>
      <c r="C22" s="15">
        <v>6</v>
      </c>
      <c r="D22" s="15">
        <v>11</v>
      </c>
      <c r="E22" s="69">
        <v>11</v>
      </c>
      <c r="F22" s="93"/>
    </row>
    <row r="23" spans="1:6" x14ac:dyDescent="0.3">
      <c r="A23" s="25" t="s">
        <v>23</v>
      </c>
      <c r="B23" s="15">
        <v>2</v>
      </c>
      <c r="C23" s="15">
        <v>1</v>
      </c>
      <c r="D23" s="15">
        <v>2</v>
      </c>
      <c r="E23" s="69">
        <v>1</v>
      </c>
      <c r="F23" s="51"/>
    </row>
    <row r="24" spans="1:6" x14ac:dyDescent="0.3">
      <c r="A24" s="25" t="s">
        <v>24</v>
      </c>
      <c r="B24" s="15">
        <v>5</v>
      </c>
      <c r="C24" s="15">
        <v>5</v>
      </c>
      <c r="D24" s="15">
        <v>6</v>
      </c>
      <c r="E24" s="69">
        <v>6</v>
      </c>
      <c r="F24" s="51"/>
    </row>
    <row r="25" spans="1:6" ht="14.5" thickBot="1" x14ac:dyDescent="0.35">
      <c r="A25" s="34" t="s">
        <v>25</v>
      </c>
      <c r="B25" s="143">
        <f>(B24+B23+B21)/(B11-B26)</f>
        <v>0.20370370370370369</v>
      </c>
      <c r="C25" s="143">
        <f t="shared" ref="C25:E25" si="0">(C24+C23+C21)/(C11-C26)</f>
        <v>0.19827586206896552</v>
      </c>
      <c r="D25" s="143">
        <f>(D24+D23+D21)/(D11-D26)</f>
        <v>0.23200000000000001</v>
      </c>
      <c r="E25" s="184">
        <f t="shared" si="0"/>
        <v>0.23622047244094488</v>
      </c>
      <c r="F25" s="51"/>
    </row>
    <row r="26" spans="1:6" ht="14.5" thickBot="1" x14ac:dyDescent="0.35">
      <c r="A26" s="115" t="s">
        <v>26</v>
      </c>
      <c r="B26" s="118">
        <v>11</v>
      </c>
      <c r="C26" s="118">
        <v>8</v>
      </c>
      <c r="D26" s="118">
        <v>4</v>
      </c>
      <c r="E26" s="119">
        <v>4</v>
      </c>
      <c r="F26" s="51"/>
    </row>
    <row r="27" spans="1:6" x14ac:dyDescent="0.3">
      <c r="A27" s="112" t="s">
        <v>27</v>
      </c>
      <c r="B27" s="46">
        <v>56</v>
      </c>
      <c r="C27" s="46">
        <v>65</v>
      </c>
      <c r="D27" s="46">
        <v>58</v>
      </c>
      <c r="E27" s="113">
        <v>56</v>
      </c>
    </row>
    <row r="28" spans="1:6" x14ac:dyDescent="0.3">
      <c r="A28" s="25" t="s">
        <v>28</v>
      </c>
      <c r="B28" s="15">
        <v>17</v>
      </c>
      <c r="C28" s="15">
        <v>22</v>
      </c>
      <c r="D28" s="15">
        <v>20</v>
      </c>
      <c r="E28" s="69">
        <v>17</v>
      </c>
    </row>
    <row r="29" spans="1:6" ht="14.5" thickBot="1" x14ac:dyDescent="0.35">
      <c r="A29" s="34" t="s">
        <v>29</v>
      </c>
      <c r="B29" s="24">
        <v>18</v>
      </c>
      <c r="C29" s="24">
        <v>17</v>
      </c>
      <c r="D29" s="24">
        <v>15</v>
      </c>
      <c r="E29" s="70">
        <v>15</v>
      </c>
    </row>
    <row r="30" spans="1:6" x14ac:dyDescent="0.3">
      <c r="A30" s="16"/>
    </row>
    <row r="32" spans="1:6" ht="14.5" thickBot="1" x14ac:dyDescent="0.35"/>
    <row r="33" spans="1:6" x14ac:dyDescent="0.3">
      <c r="A33" s="8" t="s">
        <v>30</v>
      </c>
      <c r="B33" s="9" t="s">
        <v>1</v>
      </c>
      <c r="C33" s="9" t="s">
        <v>2</v>
      </c>
      <c r="D33" s="9" t="s">
        <v>3</v>
      </c>
      <c r="E33" s="58" t="s">
        <v>4</v>
      </c>
    </row>
    <row r="34" spans="1:6" x14ac:dyDescent="0.3">
      <c r="A34" s="25" t="s">
        <v>11</v>
      </c>
      <c r="B34" s="15">
        <v>38</v>
      </c>
      <c r="C34" s="15">
        <v>40</v>
      </c>
      <c r="D34" s="15">
        <v>40</v>
      </c>
      <c r="E34" s="69">
        <v>35</v>
      </c>
    </row>
    <row r="35" spans="1:6" x14ac:dyDescent="0.3">
      <c r="A35" s="25" t="s">
        <v>13</v>
      </c>
      <c r="B35" s="23">
        <v>23633.33</v>
      </c>
      <c r="C35" s="23">
        <v>24682.17</v>
      </c>
      <c r="D35" s="23">
        <v>24289.599999999999</v>
      </c>
      <c r="E35" s="68">
        <v>22416.99</v>
      </c>
    </row>
    <row r="36" spans="1:6" x14ac:dyDescent="0.3">
      <c r="A36" s="25" t="s">
        <v>14</v>
      </c>
      <c r="B36" s="23">
        <f>B35*52/B34</f>
        <v>32340.346315789477</v>
      </c>
      <c r="C36" s="23">
        <f>C35*52/C34</f>
        <v>32086.820999999996</v>
      </c>
      <c r="D36" s="23">
        <f t="shared" ref="D36:E36" si="1">D35*52/D34</f>
        <v>31576.48</v>
      </c>
      <c r="E36" s="68">
        <f t="shared" si="1"/>
        <v>33305.242285714288</v>
      </c>
    </row>
    <row r="37" spans="1:6" x14ac:dyDescent="0.3">
      <c r="A37" s="25" t="s">
        <v>15</v>
      </c>
      <c r="B37" s="23">
        <f>B35*52</f>
        <v>1228933.1600000001</v>
      </c>
      <c r="C37" s="23">
        <f>C35*52</f>
        <v>1283472.8399999999</v>
      </c>
      <c r="D37" s="23">
        <f t="shared" ref="D37:E37" si="2">D35*52</f>
        <v>1263059.2</v>
      </c>
      <c r="E37" s="68">
        <f t="shared" si="2"/>
        <v>1165683.48</v>
      </c>
    </row>
    <row r="38" spans="1:6" ht="14.5" thickBot="1" x14ac:dyDescent="0.35">
      <c r="A38" s="34" t="s">
        <v>16</v>
      </c>
      <c r="B38" s="24">
        <v>1121</v>
      </c>
      <c r="C38" s="24">
        <v>1148</v>
      </c>
      <c r="D38" s="24">
        <v>1213</v>
      </c>
      <c r="E38" s="70">
        <v>1294</v>
      </c>
    </row>
    <row r="39" spans="1:6" x14ac:dyDescent="0.3">
      <c r="A39" s="112" t="s">
        <v>31</v>
      </c>
      <c r="B39" s="46">
        <v>17</v>
      </c>
      <c r="C39" s="46">
        <v>15</v>
      </c>
      <c r="D39" s="46">
        <v>20</v>
      </c>
      <c r="E39" s="113">
        <v>18</v>
      </c>
      <c r="F39" s="51"/>
    </row>
    <row r="40" spans="1:6" x14ac:dyDescent="0.3">
      <c r="A40" s="25" t="s">
        <v>32</v>
      </c>
      <c r="B40" s="15">
        <v>9</v>
      </c>
      <c r="C40" s="15">
        <v>10</v>
      </c>
      <c r="D40" s="15">
        <v>11</v>
      </c>
      <c r="E40" s="69">
        <v>11</v>
      </c>
      <c r="F40" s="93"/>
    </row>
    <row r="41" spans="1:6" x14ac:dyDescent="0.3">
      <c r="A41" s="78" t="s">
        <v>19</v>
      </c>
      <c r="B41" s="122">
        <f>B40/B39</f>
        <v>0.52941176470588236</v>
      </c>
      <c r="C41" s="122">
        <f t="shared" ref="C41:E41" si="3">C40/C39</f>
        <v>0.66666666666666663</v>
      </c>
      <c r="D41" s="122">
        <f t="shared" si="3"/>
        <v>0.55000000000000004</v>
      </c>
      <c r="E41" s="185">
        <f t="shared" si="3"/>
        <v>0.61111111111111116</v>
      </c>
      <c r="F41" s="93"/>
    </row>
    <row r="42" spans="1:6" ht="14.5" thickBot="1" x14ac:dyDescent="0.35">
      <c r="A42" s="34" t="s">
        <v>33</v>
      </c>
      <c r="B42" s="24">
        <v>3</v>
      </c>
      <c r="C42" s="24">
        <v>4</v>
      </c>
      <c r="D42" s="24">
        <v>6</v>
      </c>
      <c r="E42" s="70">
        <v>6</v>
      </c>
      <c r="F42" s="51"/>
    </row>
    <row r="43" spans="1:6" x14ac:dyDescent="0.3">
      <c r="A43" s="112" t="s">
        <v>34</v>
      </c>
      <c r="B43" s="46">
        <v>7</v>
      </c>
      <c r="C43" s="46">
        <v>8</v>
      </c>
      <c r="D43" s="46">
        <v>8</v>
      </c>
      <c r="E43" s="113">
        <v>7</v>
      </c>
      <c r="F43" s="51"/>
    </row>
    <row r="44" spans="1:6" x14ac:dyDescent="0.3">
      <c r="A44" s="25" t="s">
        <v>35</v>
      </c>
      <c r="B44" s="15">
        <v>1</v>
      </c>
      <c r="C44" s="15">
        <v>1</v>
      </c>
      <c r="D44" s="15">
        <v>1</v>
      </c>
      <c r="E44" s="69">
        <v>1</v>
      </c>
      <c r="F44" s="93"/>
    </row>
    <row r="45" spans="1:6" x14ac:dyDescent="0.3">
      <c r="A45" s="25" t="s">
        <v>36</v>
      </c>
      <c r="B45" s="15">
        <v>2</v>
      </c>
      <c r="C45" s="15">
        <v>2</v>
      </c>
      <c r="D45" s="15">
        <v>2</v>
      </c>
      <c r="E45" s="69">
        <v>1</v>
      </c>
      <c r="F45" s="51"/>
    </row>
    <row r="46" spans="1:6" x14ac:dyDescent="0.3">
      <c r="A46" s="25" t="s">
        <v>37</v>
      </c>
      <c r="B46" s="27">
        <v>3</v>
      </c>
      <c r="C46" s="27">
        <v>3</v>
      </c>
      <c r="D46" s="27">
        <v>2</v>
      </c>
      <c r="E46" s="82">
        <v>2</v>
      </c>
      <c r="F46" s="51"/>
    </row>
    <row r="47" spans="1:6" ht="14.5" thickBot="1" x14ac:dyDescent="0.35">
      <c r="A47" s="34" t="s">
        <v>25</v>
      </c>
      <c r="B47" s="143">
        <f>(B46+B45+B43)/(B34-B48)</f>
        <v>0.375</v>
      </c>
      <c r="C47" s="143">
        <f t="shared" ref="C47:E47" si="4">(C46+C45+C43)/(C34-C48)</f>
        <v>0.40625</v>
      </c>
      <c r="D47" s="143">
        <f t="shared" si="4"/>
        <v>0.31578947368421051</v>
      </c>
      <c r="E47" s="184">
        <f t="shared" si="4"/>
        <v>0.29411764705882354</v>
      </c>
      <c r="F47" s="51"/>
    </row>
    <row r="48" spans="1:6" ht="14.5" thickBot="1" x14ac:dyDescent="0.35">
      <c r="A48" s="115" t="s">
        <v>26</v>
      </c>
      <c r="B48" s="119">
        <v>6</v>
      </c>
      <c r="C48" s="155">
        <v>8</v>
      </c>
      <c r="D48" s="155">
        <v>2</v>
      </c>
      <c r="E48" s="155">
        <v>1</v>
      </c>
      <c r="F48" s="51"/>
    </row>
    <row r="49" spans="1:8" x14ac:dyDescent="0.3">
      <c r="A49" s="112" t="s">
        <v>27</v>
      </c>
      <c r="B49" s="102">
        <v>3</v>
      </c>
      <c r="C49" s="102">
        <v>9</v>
      </c>
      <c r="D49" s="102">
        <v>10</v>
      </c>
      <c r="E49" s="103">
        <v>9</v>
      </c>
    </row>
    <row r="50" spans="1:8" x14ac:dyDescent="0.3">
      <c r="A50" s="25" t="s">
        <v>28</v>
      </c>
      <c r="B50" s="27">
        <v>2</v>
      </c>
      <c r="C50" s="27">
        <v>3</v>
      </c>
      <c r="D50" s="27">
        <v>1</v>
      </c>
      <c r="E50" s="82">
        <v>0</v>
      </c>
    </row>
    <row r="51" spans="1:8" ht="14.5" thickBot="1" x14ac:dyDescent="0.35">
      <c r="A51" s="34" t="s">
        <v>29</v>
      </c>
      <c r="B51" s="40">
        <v>1</v>
      </c>
      <c r="C51" s="40">
        <v>1</v>
      </c>
      <c r="D51" s="40">
        <v>1</v>
      </c>
      <c r="E51" s="83">
        <v>5</v>
      </c>
    </row>
    <row r="52" spans="1:8" x14ac:dyDescent="0.3">
      <c r="A52" s="16"/>
    </row>
    <row r="53" spans="1:8" x14ac:dyDescent="0.3">
      <c r="A53" s="16"/>
    </row>
    <row r="54" spans="1:8" ht="14.5" thickBot="1" x14ac:dyDescent="0.35">
      <c r="A54" s="16"/>
    </row>
    <row r="55" spans="1:8" x14ac:dyDescent="0.3">
      <c r="A55" s="8" t="s">
        <v>137</v>
      </c>
      <c r="B55" s="9" t="s">
        <v>1</v>
      </c>
      <c r="C55" s="9" t="s">
        <v>2</v>
      </c>
      <c r="D55" s="9" t="s">
        <v>3</v>
      </c>
      <c r="E55" s="58" t="s">
        <v>4</v>
      </c>
    </row>
    <row r="56" spans="1:8" x14ac:dyDescent="0.3">
      <c r="A56" s="25" t="s">
        <v>39</v>
      </c>
      <c r="B56" s="15">
        <v>284</v>
      </c>
      <c r="C56" s="15">
        <v>254</v>
      </c>
      <c r="D56" s="15">
        <v>317</v>
      </c>
      <c r="E56" s="69">
        <v>449</v>
      </c>
    </row>
    <row r="57" spans="1:8" x14ac:dyDescent="0.3">
      <c r="A57" s="25" t="s">
        <v>40</v>
      </c>
      <c r="B57" s="15">
        <v>32</v>
      </c>
      <c r="C57" s="15">
        <v>24</v>
      </c>
      <c r="D57" s="15">
        <v>45</v>
      </c>
      <c r="E57" s="69">
        <v>102</v>
      </c>
    </row>
    <row r="58" spans="1:8" x14ac:dyDescent="0.3">
      <c r="A58" s="25" t="s">
        <v>41</v>
      </c>
      <c r="B58" s="15">
        <v>192</v>
      </c>
      <c r="C58" s="15">
        <v>170</v>
      </c>
      <c r="D58" s="15">
        <v>192</v>
      </c>
      <c r="E58" s="69">
        <v>240</v>
      </c>
    </row>
    <row r="59" spans="1:8" ht="14.5" thickBot="1" x14ac:dyDescent="0.35">
      <c r="A59" s="34" t="s">
        <v>42</v>
      </c>
      <c r="B59" s="24">
        <v>60</v>
      </c>
      <c r="C59" s="24">
        <v>60</v>
      </c>
      <c r="D59" s="24">
        <v>80</v>
      </c>
      <c r="E59" s="70">
        <v>107</v>
      </c>
    </row>
    <row r="60" spans="1:8" x14ac:dyDescent="0.3">
      <c r="A60" s="112" t="s">
        <v>43</v>
      </c>
      <c r="B60" s="46">
        <v>185</v>
      </c>
      <c r="C60" s="46">
        <v>179</v>
      </c>
      <c r="D60" s="46">
        <v>179</v>
      </c>
      <c r="E60" s="113">
        <v>181</v>
      </c>
    </row>
    <row r="61" spans="1:8" x14ac:dyDescent="0.3">
      <c r="A61" s="25" t="s">
        <v>44</v>
      </c>
      <c r="B61" s="23">
        <v>60674.1</v>
      </c>
      <c r="C61" s="23">
        <v>60880.7</v>
      </c>
      <c r="D61" s="23">
        <v>65003.02</v>
      </c>
      <c r="E61" s="68">
        <v>65802.03</v>
      </c>
    </row>
    <row r="62" spans="1:8" x14ac:dyDescent="0.3">
      <c r="A62" s="25" t="s">
        <v>14</v>
      </c>
      <c r="B62" s="23">
        <f>B61/B60*52</f>
        <v>17054.341621621621</v>
      </c>
      <c r="C62" s="23">
        <f>C61/C60*52</f>
        <v>17686.013407821229</v>
      </c>
      <c r="D62" s="23">
        <f t="shared" ref="D62:E62" si="5">D61/D60*52</f>
        <v>18883.558882681566</v>
      </c>
      <c r="E62" s="68">
        <f t="shared" si="5"/>
        <v>18904.450607734805</v>
      </c>
    </row>
    <row r="63" spans="1:8" ht="14.5" thickBot="1" x14ac:dyDescent="0.35">
      <c r="A63" s="34" t="s">
        <v>15</v>
      </c>
      <c r="B63" s="120">
        <f>B61*52</f>
        <v>3155053.1999999997</v>
      </c>
      <c r="C63" s="120">
        <f>C61*52</f>
        <v>3165796.4</v>
      </c>
      <c r="D63" s="120">
        <f t="shared" ref="D63:E63" si="6">D61*52</f>
        <v>3380157.04</v>
      </c>
      <c r="E63" s="121">
        <f t="shared" si="6"/>
        <v>3421705.56</v>
      </c>
      <c r="H63" s="173"/>
    </row>
    <row r="64" spans="1:8" x14ac:dyDescent="0.3">
      <c r="A64" s="112" t="s">
        <v>45</v>
      </c>
      <c r="B64" s="46">
        <v>12</v>
      </c>
      <c r="C64" s="46">
        <v>5</v>
      </c>
      <c r="D64" s="46">
        <v>15</v>
      </c>
      <c r="E64" s="113">
        <v>5</v>
      </c>
    </row>
    <row r="65" spans="1:6" x14ac:dyDescent="0.3">
      <c r="A65" s="78" t="s">
        <v>46</v>
      </c>
      <c r="B65" s="15">
        <v>28</v>
      </c>
      <c r="C65" s="15">
        <v>23</v>
      </c>
      <c r="D65" s="15">
        <v>48</v>
      </c>
      <c r="E65" s="69">
        <v>151</v>
      </c>
    </row>
    <row r="66" spans="1:6" ht="14.5" thickBot="1" x14ac:dyDescent="0.35">
      <c r="A66" s="34" t="s">
        <v>47</v>
      </c>
      <c r="B66" s="24">
        <v>17</v>
      </c>
      <c r="C66" s="24">
        <v>16</v>
      </c>
      <c r="D66" s="24">
        <v>19</v>
      </c>
      <c r="E66" s="70">
        <v>17</v>
      </c>
    </row>
    <row r="67" spans="1:6" x14ac:dyDescent="0.3">
      <c r="A67" s="104"/>
      <c r="B67" s="37"/>
      <c r="C67" s="37"/>
      <c r="D67" s="37"/>
      <c r="E67" s="37"/>
    </row>
    <row r="68" spans="1:6" x14ac:dyDescent="0.3">
      <c r="A68" s="104"/>
      <c r="B68" s="37"/>
      <c r="C68" s="37"/>
      <c r="D68" s="37"/>
      <c r="E68" s="37"/>
    </row>
    <row r="69" spans="1:6" x14ac:dyDescent="0.3">
      <c r="A69" s="104"/>
      <c r="B69" s="37"/>
      <c r="C69" s="37"/>
      <c r="D69" s="37"/>
      <c r="E69" s="37"/>
    </row>
    <row r="70" spans="1:6" x14ac:dyDescent="0.3">
      <c r="A70" s="16"/>
      <c r="C70" s="17"/>
    </row>
    <row r="71" spans="1:6" x14ac:dyDescent="0.3">
      <c r="A71" s="16"/>
      <c r="C71" s="17"/>
    </row>
    <row r="72" spans="1:6" x14ac:dyDescent="0.3">
      <c r="A72" s="16"/>
      <c r="C72" s="17"/>
    </row>
    <row r="73" spans="1:6" x14ac:dyDescent="0.3">
      <c r="A73" s="16"/>
      <c r="C73" s="17"/>
    </row>
    <row r="74" spans="1:6" s="1" customFormat="1" ht="14.5" thickBot="1" x14ac:dyDescent="0.35">
      <c r="A74" s="11"/>
    </row>
    <row r="75" spans="1:6" s="1" customFormat="1" x14ac:dyDescent="0.3">
      <c r="A75" s="190" t="s">
        <v>48</v>
      </c>
      <c r="B75" s="73" t="s">
        <v>49</v>
      </c>
      <c r="C75" s="191" t="s">
        <v>50</v>
      </c>
    </row>
    <row r="76" spans="1:6" s="1" customFormat="1" x14ac:dyDescent="0.3">
      <c r="A76" s="10" t="s">
        <v>51</v>
      </c>
      <c r="B76" s="123">
        <v>4</v>
      </c>
      <c r="C76" s="171">
        <f>B76/65</f>
        <v>6.1538461538461542E-2</v>
      </c>
    </row>
    <row r="77" spans="1:6" s="1" customFormat="1" x14ac:dyDescent="0.3">
      <c r="A77" s="10" t="s">
        <v>52</v>
      </c>
      <c r="B77" s="123">
        <v>0</v>
      </c>
      <c r="C77" s="171">
        <f t="shared" ref="C77:C82" si="7">B77/65</f>
        <v>0</v>
      </c>
    </row>
    <row r="78" spans="1:6" s="1" customFormat="1" x14ac:dyDescent="0.3">
      <c r="A78" s="10" t="s">
        <v>53</v>
      </c>
      <c r="B78" s="123">
        <v>1</v>
      </c>
      <c r="C78" s="171">
        <f t="shared" si="7"/>
        <v>1.5384615384615385E-2</v>
      </c>
    </row>
    <row r="79" spans="1:6" s="1" customFormat="1" x14ac:dyDescent="0.3">
      <c r="A79" s="10" t="s">
        <v>54</v>
      </c>
      <c r="B79" s="123">
        <v>41</v>
      </c>
      <c r="C79" s="171">
        <f t="shared" si="7"/>
        <v>0.63076923076923075</v>
      </c>
    </row>
    <row r="80" spans="1:6" s="1" customFormat="1" x14ac:dyDescent="0.3">
      <c r="A80" s="10" t="s">
        <v>55</v>
      </c>
      <c r="B80" s="123">
        <v>6</v>
      </c>
      <c r="C80" s="171">
        <f t="shared" si="7"/>
        <v>9.2307692307692313E-2</v>
      </c>
      <c r="F80" s="84"/>
    </row>
    <row r="81" spans="1:5" s="1" customFormat="1" x14ac:dyDescent="0.3">
      <c r="A81" s="10" t="s">
        <v>56</v>
      </c>
      <c r="B81" s="123">
        <v>2</v>
      </c>
      <c r="C81" s="171">
        <f t="shared" si="7"/>
        <v>3.0769230769230771E-2</v>
      </c>
    </row>
    <row r="82" spans="1:5" s="1" customFormat="1" x14ac:dyDescent="0.3">
      <c r="A82" s="10" t="s">
        <v>57</v>
      </c>
      <c r="B82" s="123">
        <v>11</v>
      </c>
      <c r="C82" s="171">
        <f t="shared" si="7"/>
        <v>0.16923076923076924</v>
      </c>
    </row>
    <row r="83" spans="1:5" s="1" customFormat="1" ht="14.5" thickBot="1" x14ac:dyDescent="0.35">
      <c r="A83" s="192" t="s">
        <v>49</v>
      </c>
      <c r="B83" s="193">
        <f>SUM(B76:B82)</f>
        <v>65</v>
      </c>
      <c r="C83" s="194">
        <f>SUM(C76:C82)</f>
        <v>1</v>
      </c>
    </row>
    <row r="84" spans="1:5" s="1" customFormat="1" x14ac:dyDescent="0.3">
      <c r="A84" s="174"/>
      <c r="B84" s="174"/>
      <c r="C84" s="175"/>
      <c r="D84" s="174"/>
      <c r="E84" s="174"/>
    </row>
    <row r="85" spans="1:5" s="1" customFormat="1" ht="14.5" thickBot="1" x14ac:dyDescent="0.35">
      <c r="A85" s="174"/>
      <c r="B85" s="174"/>
      <c r="C85" s="175"/>
      <c r="D85" s="174"/>
      <c r="E85" s="174"/>
    </row>
    <row r="86" spans="1:5" s="1" customFormat="1" ht="14.25" customHeight="1" x14ac:dyDescent="0.3">
      <c r="A86" s="238" t="s">
        <v>58</v>
      </c>
      <c r="B86" s="239" t="s">
        <v>49</v>
      </c>
      <c r="C86" s="240" t="s">
        <v>50</v>
      </c>
      <c r="D86" s="80"/>
    </row>
    <row r="87" spans="1:5" s="1" customFormat="1" ht="14.25" customHeight="1" x14ac:dyDescent="0.3">
      <c r="A87" s="195" t="s">
        <v>59</v>
      </c>
      <c r="B87" s="123">
        <v>2</v>
      </c>
      <c r="C87" s="196">
        <f>B87/11</f>
        <v>0.18181818181818182</v>
      </c>
      <c r="D87" s="80"/>
    </row>
    <row r="88" spans="1:5" s="1" customFormat="1" ht="14.25" customHeight="1" x14ac:dyDescent="0.3">
      <c r="A88" s="195" t="s">
        <v>60</v>
      </c>
      <c r="B88" s="123">
        <v>3</v>
      </c>
      <c r="C88" s="196">
        <f t="shared" ref="C88:C91" si="8">B88/11</f>
        <v>0.27272727272727271</v>
      </c>
      <c r="D88" s="80"/>
    </row>
    <row r="89" spans="1:5" s="1" customFormat="1" ht="14.25" customHeight="1" x14ac:dyDescent="0.3">
      <c r="A89" s="195" t="s">
        <v>61</v>
      </c>
      <c r="B89" s="123">
        <v>0</v>
      </c>
      <c r="C89" s="196">
        <f t="shared" si="8"/>
        <v>0</v>
      </c>
      <c r="D89" s="80"/>
    </row>
    <row r="90" spans="1:5" s="1" customFormat="1" ht="14.25" customHeight="1" x14ac:dyDescent="0.3">
      <c r="A90" s="195" t="s">
        <v>62</v>
      </c>
      <c r="B90" s="123">
        <v>4</v>
      </c>
      <c r="C90" s="196">
        <f t="shared" si="8"/>
        <v>0.36363636363636365</v>
      </c>
      <c r="D90" s="80"/>
    </row>
    <row r="91" spans="1:5" s="1" customFormat="1" ht="14.25" customHeight="1" x14ac:dyDescent="0.3">
      <c r="A91" s="195" t="s">
        <v>63</v>
      </c>
      <c r="B91" s="123">
        <v>2</v>
      </c>
      <c r="C91" s="196">
        <f t="shared" si="8"/>
        <v>0.18181818181818182</v>
      </c>
      <c r="D91" s="80"/>
    </row>
    <row r="92" spans="1:5" s="1" customFormat="1" ht="14.5" thickBot="1" x14ac:dyDescent="0.35">
      <c r="A92" s="197" t="s">
        <v>49</v>
      </c>
      <c r="B92" s="198">
        <f>SUM(B87:B91)</f>
        <v>11</v>
      </c>
      <c r="C92" s="218">
        <f>SUM(C87:C91)</f>
        <v>1</v>
      </c>
      <c r="D92" s="17"/>
    </row>
    <row r="93" spans="1:5" s="1" customFormat="1" x14ac:dyDescent="0.3">
      <c r="A93" s="176"/>
      <c r="B93" s="177"/>
      <c r="C93" s="178"/>
      <c r="D93" s="170"/>
      <c r="E93" s="174"/>
    </row>
    <row r="94" spans="1:5" s="1" customFormat="1" x14ac:dyDescent="0.3">
      <c r="A94" s="176"/>
      <c r="B94" s="177"/>
      <c r="C94" s="178"/>
      <c r="D94" s="170"/>
      <c r="E94" s="174"/>
    </row>
    <row r="95" spans="1:5" s="1" customFormat="1" x14ac:dyDescent="0.3">
      <c r="A95" s="176"/>
      <c r="B95" s="177"/>
      <c r="C95" s="178"/>
      <c r="D95" s="170"/>
      <c r="E95" s="174"/>
    </row>
    <row r="96" spans="1:5" s="1" customFormat="1" x14ac:dyDescent="0.3">
      <c r="A96" s="176"/>
      <c r="B96" s="177"/>
      <c r="C96" s="178"/>
      <c r="D96" s="170"/>
      <c r="E96" s="174"/>
    </row>
    <row r="97" spans="1:4" s="1" customFormat="1" x14ac:dyDescent="0.3">
      <c r="A97" s="201" t="s">
        <v>64</v>
      </c>
      <c r="B97" s="202" t="s">
        <v>49</v>
      </c>
      <c r="C97" s="203" t="s">
        <v>50</v>
      </c>
      <c r="D97" s="2"/>
    </row>
    <row r="98" spans="1:4" s="1" customFormat="1" x14ac:dyDescent="0.3">
      <c r="A98" s="10" t="s">
        <v>51</v>
      </c>
      <c r="B98" s="123">
        <v>0</v>
      </c>
      <c r="C98" s="196">
        <f>B98/8</f>
        <v>0</v>
      </c>
      <c r="D98" s="2"/>
    </row>
    <row r="99" spans="1:4" s="1" customFormat="1" x14ac:dyDescent="0.3">
      <c r="A99" s="204" t="s">
        <v>52</v>
      </c>
      <c r="B99" s="123">
        <v>3</v>
      </c>
      <c r="C99" s="196">
        <v>0.37</v>
      </c>
      <c r="D99" s="2"/>
    </row>
    <row r="100" spans="1:4" s="1" customFormat="1" x14ac:dyDescent="0.3">
      <c r="A100" s="204" t="s">
        <v>53</v>
      </c>
      <c r="B100" s="123">
        <v>0</v>
      </c>
      <c r="C100" s="196">
        <f t="shared" ref="C100:C104" si="9">B100/8</f>
        <v>0</v>
      </c>
      <c r="D100" s="2"/>
    </row>
    <row r="101" spans="1:4" s="1" customFormat="1" x14ac:dyDescent="0.3">
      <c r="A101" s="204" t="s">
        <v>54</v>
      </c>
      <c r="B101" s="123">
        <v>3</v>
      </c>
      <c r="C101" s="196">
        <v>0.37</v>
      </c>
      <c r="D101" s="2"/>
    </row>
    <row r="102" spans="1:4" s="1" customFormat="1" x14ac:dyDescent="0.3">
      <c r="A102" s="204" t="s">
        <v>55</v>
      </c>
      <c r="B102" s="123">
        <v>1</v>
      </c>
      <c r="C102" s="196">
        <f t="shared" si="9"/>
        <v>0.125</v>
      </c>
      <c r="D102" s="2"/>
    </row>
    <row r="103" spans="1:4" s="1" customFormat="1" x14ac:dyDescent="0.3">
      <c r="A103" s="204" t="s">
        <v>56</v>
      </c>
      <c r="B103" s="123">
        <v>0</v>
      </c>
      <c r="C103" s="196">
        <f t="shared" si="9"/>
        <v>0</v>
      </c>
      <c r="D103" s="2"/>
    </row>
    <row r="104" spans="1:4" s="1" customFormat="1" x14ac:dyDescent="0.3">
      <c r="A104" s="204" t="s">
        <v>57</v>
      </c>
      <c r="B104" s="123">
        <v>1</v>
      </c>
      <c r="C104" s="196">
        <f t="shared" si="9"/>
        <v>0.125</v>
      </c>
      <c r="D104" s="2"/>
    </row>
    <row r="105" spans="1:4" s="1" customFormat="1" ht="14.5" thickBot="1" x14ac:dyDescent="0.35">
      <c r="A105" s="205" t="s">
        <v>49</v>
      </c>
      <c r="B105" s="206">
        <f>SUM(B98:B104)</f>
        <v>8</v>
      </c>
      <c r="C105" s="217">
        <f>SUM(C98:C104)</f>
        <v>0.99</v>
      </c>
      <c r="D105" s="2"/>
    </row>
    <row r="106" spans="1:4" s="1" customFormat="1" x14ac:dyDescent="0.3">
      <c r="A106" s="179"/>
      <c r="B106" s="179"/>
      <c r="C106" s="180"/>
      <c r="D106" s="181"/>
    </row>
    <row r="107" spans="1:4" s="1" customFormat="1" ht="14.5" thickBot="1" x14ac:dyDescent="0.35">
      <c r="A107" s="179"/>
      <c r="B107" s="179"/>
      <c r="C107" s="180"/>
      <c r="D107" s="181"/>
    </row>
    <row r="108" spans="1:4" s="1" customFormat="1" x14ac:dyDescent="0.3">
      <c r="A108" s="208" t="s">
        <v>65</v>
      </c>
      <c r="B108" s="209" t="s">
        <v>49</v>
      </c>
      <c r="C108" s="203" t="s">
        <v>50</v>
      </c>
      <c r="D108" s="2"/>
    </row>
    <row r="109" spans="1:4" s="1" customFormat="1" x14ac:dyDescent="0.3">
      <c r="A109" s="210" t="s">
        <v>59</v>
      </c>
      <c r="B109" s="123">
        <v>0</v>
      </c>
      <c r="C109" s="196">
        <f t="shared" ref="C109:C112" si="10">B109/1</f>
        <v>0</v>
      </c>
      <c r="D109" s="2"/>
    </row>
    <row r="110" spans="1:4" s="1" customFormat="1" x14ac:dyDescent="0.3">
      <c r="A110" s="212" t="s">
        <v>60</v>
      </c>
      <c r="B110" s="123">
        <v>0</v>
      </c>
      <c r="C110" s="196">
        <f t="shared" si="10"/>
        <v>0</v>
      </c>
      <c r="D110" s="2"/>
    </row>
    <row r="111" spans="1:4" s="1" customFormat="1" x14ac:dyDescent="0.3">
      <c r="A111" s="212" t="s">
        <v>61</v>
      </c>
      <c r="B111" s="123">
        <v>0</v>
      </c>
      <c r="C111" s="196">
        <f t="shared" si="10"/>
        <v>0</v>
      </c>
      <c r="D111" s="2"/>
    </row>
    <row r="112" spans="1:4" s="1" customFormat="1" x14ac:dyDescent="0.3">
      <c r="A112" s="212" t="s">
        <v>62</v>
      </c>
      <c r="B112" s="123">
        <v>0</v>
      </c>
      <c r="C112" s="196">
        <f t="shared" si="10"/>
        <v>0</v>
      </c>
      <c r="D112" s="2"/>
    </row>
    <row r="113" spans="1:8" s="1" customFormat="1" x14ac:dyDescent="0.3">
      <c r="A113" s="212" t="s">
        <v>63</v>
      </c>
      <c r="B113" s="123">
        <v>1</v>
      </c>
      <c r="C113" s="196">
        <f>B113/1</f>
        <v>1</v>
      </c>
      <c r="D113" s="2"/>
    </row>
    <row r="114" spans="1:8" s="1" customFormat="1" ht="14.5" thickBot="1" x14ac:dyDescent="0.35">
      <c r="A114" s="214" t="s">
        <v>49</v>
      </c>
      <c r="B114" s="206">
        <f>SUM(B109:B113)</f>
        <v>1</v>
      </c>
      <c r="C114" s="215">
        <f>SUM(C109:C113)</f>
        <v>1</v>
      </c>
      <c r="D114" s="2"/>
    </row>
    <row r="115" spans="1:8" s="1" customFormat="1" x14ac:dyDescent="0.3">
      <c r="A115" s="182"/>
      <c r="B115" s="179"/>
      <c r="C115" s="183"/>
      <c r="D115" s="181"/>
    </row>
    <row r="116" spans="1:8" s="1" customFormat="1" x14ac:dyDescent="0.3">
      <c r="A116" s="182"/>
      <c r="B116" s="179"/>
      <c r="C116" s="183"/>
      <c r="D116" s="181"/>
    </row>
    <row r="117" spans="1:8" s="1" customFormat="1" x14ac:dyDescent="0.3">
      <c r="A117" s="248" t="s">
        <v>66</v>
      </c>
      <c r="B117" s="179"/>
      <c r="C117" s="183"/>
      <c r="D117" s="181"/>
    </row>
    <row r="118" spans="1:8" s="1" customFormat="1" x14ac:dyDescent="0.3">
      <c r="A118" s="182"/>
      <c r="B118" s="179"/>
      <c r="C118" s="183"/>
      <c r="D118" s="181"/>
    </row>
    <row r="119" spans="1:8" x14ac:dyDescent="0.3">
      <c r="A119" s="49" t="s">
        <v>67</v>
      </c>
      <c r="B119" s="73" t="s">
        <v>68</v>
      </c>
      <c r="C119" s="79" t="s">
        <v>49</v>
      </c>
      <c r="D119" s="74" t="s">
        <v>50</v>
      </c>
      <c r="E119" s="44"/>
      <c r="F119" s="163" t="s">
        <v>69</v>
      </c>
      <c r="G119" s="9" t="s">
        <v>114</v>
      </c>
      <c r="H119" s="58" t="s">
        <v>50</v>
      </c>
    </row>
    <row r="120" spans="1:8" x14ac:dyDescent="0.3">
      <c r="A120" s="25" t="s">
        <v>71</v>
      </c>
      <c r="B120" s="25" t="s">
        <v>72</v>
      </c>
      <c r="C120" s="15">
        <v>10</v>
      </c>
      <c r="D120" s="171">
        <f>C120/127</f>
        <v>7.874015748031496E-2</v>
      </c>
      <c r="E120" s="45"/>
      <c r="F120" s="25" t="s">
        <v>72</v>
      </c>
      <c r="G120" s="15">
        <v>18</v>
      </c>
      <c r="H120" s="171">
        <f t="shared" ref="H120:H125" si="11">G120/127</f>
        <v>0.14173228346456693</v>
      </c>
    </row>
    <row r="121" spans="1:8" x14ac:dyDescent="0.3">
      <c r="A121" s="25" t="s">
        <v>75</v>
      </c>
      <c r="B121" s="15" t="s">
        <v>72</v>
      </c>
      <c r="C121" s="15">
        <v>7</v>
      </c>
      <c r="D121" s="171">
        <f t="shared" ref="D121:D145" si="12">C121/127</f>
        <v>5.5118110236220472E-2</v>
      </c>
      <c r="E121" s="45"/>
      <c r="F121" s="25" t="s">
        <v>74</v>
      </c>
      <c r="G121" s="15">
        <v>2</v>
      </c>
      <c r="H121" s="171">
        <f t="shared" si="11"/>
        <v>1.5748031496062992E-2</v>
      </c>
    </row>
    <row r="122" spans="1:8" x14ac:dyDescent="0.3">
      <c r="A122" s="25" t="s">
        <v>77</v>
      </c>
      <c r="B122" s="15" t="s">
        <v>72</v>
      </c>
      <c r="C122" s="15">
        <v>1</v>
      </c>
      <c r="D122" s="171">
        <f t="shared" si="12"/>
        <v>7.874015748031496E-3</v>
      </c>
      <c r="E122" s="45"/>
      <c r="F122" s="99" t="s">
        <v>76</v>
      </c>
      <c r="G122" s="15">
        <v>30</v>
      </c>
      <c r="H122" s="171">
        <f t="shared" si="11"/>
        <v>0.23622047244094488</v>
      </c>
    </row>
    <row r="123" spans="1:8" x14ac:dyDescent="0.3">
      <c r="A123" s="25" t="s">
        <v>74</v>
      </c>
      <c r="B123" s="15" t="s">
        <v>74</v>
      </c>
      <c r="C123" s="15">
        <v>2</v>
      </c>
      <c r="D123" s="171">
        <f t="shared" si="12"/>
        <v>1.5748031496062992E-2</v>
      </c>
      <c r="E123" s="45"/>
      <c r="F123" s="25" t="s">
        <v>78</v>
      </c>
      <c r="G123" s="15">
        <v>11</v>
      </c>
      <c r="H123" s="171">
        <f t="shared" si="11"/>
        <v>8.6614173228346455E-2</v>
      </c>
    </row>
    <row r="124" spans="1:8" x14ac:dyDescent="0.3">
      <c r="A124" s="25" t="s">
        <v>115</v>
      </c>
      <c r="B124" s="15" t="s">
        <v>76</v>
      </c>
      <c r="C124" s="15">
        <v>3</v>
      </c>
      <c r="D124" s="171">
        <f t="shared" si="12"/>
        <v>2.3622047244094488E-2</v>
      </c>
      <c r="E124" s="45"/>
      <c r="F124" s="25" t="s">
        <v>79</v>
      </c>
      <c r="G124" s="15">
        <v>32</v>
      </c>
      <c r="H124" s="171">
        <f t="shared" si="11"/>
        <v>0.25196850393700787</v>
      </c>
    </row>
    <row r="125" spans="1:8" ht="14.5" thickBot="1" x14ac:dyDescent="0.35">
      <c r="A125" s="25" t="s">
        <v>83</v>
      </c>
      <c r="B125" s="15" t="s">
        <v>76</v>
      </c>
      <c r="C125" s="15">
        <v>1</v>
      </c>
      <c r="D125" s="171">
        <f t="shared" si="12"/>
        <v>7.874015748031496E-3</v>
      </c>
      <c r="E125" s="45"/>
      <c r="F125" s="34" t="s">
        <v>81</v>
      </c>
      <c r="G125" s="24">
        <v>34</v>
      </c>
      <c r="H125" s="228">
        <f t="shared" si="11"/>
        <v>0.26771653543307089</v>
      </c>
    </row>
    <row r="126" spans="1:8" x14ac:dyDescent="0.3">
      <c r="A126" s="25" t="s">
        <v>85</v>
      </c>
      <c r="B126" s="15" t="s">
        <v>76</v>
      </c>
      <c r="C126" s="15">
        <v>2</v>
      </c>
      <c r="D126" s="171">
        <f t="shared" si="12"/>
        <v>1.5748031496062992E-2</v>
      </c>
    </row>
    <row r="127" spans="1:8" x14ac:dyDescent="0.3">
      <c r="A127" s="25" t="s">
        <v>86</v>
      </c>
      <c r="B127" s="15" t="s">
        <v>76</v>
      </c>
      <c r="C127" s="15">
        <v>4</v>
      </c>
      <c r="D127" s="171">
        <f t="shared" si="12"/>
        <v>3.1496062992125984E-2</v>
      </c>
    </row>
    <row r="128" spans="1:8" x14ac:dyDescent="0.3">
      <c r="A128" s="25" t="s">
        <v>87</v>
      </c>
      <c r="B128" s="15" t="s">
        <v>76</v>
      </c>
      <c r="C128" s="15">
        <v>1</v>
      </c>
      <c r="D128" s="171">
        <f t="shared" si="12"/>
        <v>7.874015748031496E-3</v>
      </c>
    </row>
    <row r="129" spans="1:4" x14ac:dyDescent="0.3">
      <c r="A129" s="25" t="s">
        <v>89</v>
      </c>
      <c r="B129" s="15" t="s">
        <v>76</v>
      </c>
      <c r="C129" s="15">
        <v>1</v>
      </c>
      <c r="D129" s="171">
        <f t="shared" si="12"/>
        <v>7.874015748031496E-3</v>
      </c>
    </row>
    <row r="130" spans="1:4" x14ac:dyDescent="0.3">
      <c r="A130" s="25" t="s">
        <v>90</v>
      </c>
      <c r="B130" s="15" t="s">
        <v>76</v>
      </c>
      <c r="C130" s="15">
        <v>11</v>
      </c>
      <c r="D130" s="171">
        <f t="shared" si="12"/>
        <v>8.6614173228346455E-2</v>
      </c>
    </row>
    <row r="131" spans="1:4" x14ac:dyDescent="0.3">
      <c r="A131" s="25" t="s">
        <v>92</v>
      </c>
      <c r="B131" s="15" t="s">
        <v>76</v>
      </c>
      <c r="C131" s="15">
        <v>6</v>
      </c>
      <c r="D131" s="171">
        <f t="shared" si="12"/>
        <v>4.7244094488188976E-2</v>
      </c>
    </row>
    <row r="132" spans="1:4" x14ac:dyDescent="0.3">
      <c r="A132" s="25" t="s">
        <v>93</v>
      </c>
      <c r="B132" s="15" t="s">
        <v>76</v>
      </c>
      <c r="C132" s="15">
        <v>1</v>
      </c>
      <c r="D132" s="171">
        <f t="shared" si="12"/>
        <v>7.874015748031496E-3</v>
      </c>
    </row>
    <row r="133" spans="1:4" x14ac:dyDescent="0.3">
      <c r="A133" s="25" t="s">
        <v>95</v>
      </c>
      <c r="B133" s="15" t="s">
        <v>78</v>
      </c>
      <c r="C133" s="15">
        <v>5</v>
      </c>
      <c r="D133" s="171">
        <f t="shared" si="12"/>
        <v>3.937007874015748E-2</v>
      </c>
    </row>
    <row r="134" spans="1:4" x14ac:dyDescent="0.3">
      <c r="A134" s="25" t="s">
        <v>96</v>
      </c>
      <c r="B134" s="15" t="s">
        <v>78</v>
      </c>
      <c r="C134" s="15">
        <v>6</v>
      </c>
      <c r="D134" s="171">
        <f t="shared" si="12"/>
        <v>4.7244094488188976E-2</v>
      </c>
    </row>
    <row r="135" spans="1:4" x14ac:dyDescent="0.3">
      <c r="A135" s="25" t="s">
        <v>97</v>
      </c>
      <c r="B135" s="15" t="s">
        <v>79</v>
      </c>
      <c r="C135" s="15">
        <v>3</v>
      </c>
      <c r="D135" s="171">
        <f t="shared" si="12"/>
        <v>2.3622047244094488E-2</v>
      </c>
    </row>
    <row r="136" spans="1:4" x14ac:dyDescent="0.3">
      <c r="A136" s="25" t="s">
        <v>98</v>
      </c>
      <c r="B136" s="15" t="s">
        <v>79</v>
      </c>
      <c r="C136" s="15">
        <v>1</v>
      </c>
      <c r="D136" s="171">
        <f t="shared" si="12"/>
        <v>7.874015748031496E-3</v>
      </c>
    </row>
    <row r="137" spans="1:4" x14ac:dyDescent="0.3">
      <c r="A137" s="25" t="s">
        <v>99</v>
      </c>
      <c r="B137" s="15" t="s">
        <v>79</v>
      </c>
      <c r="C137" s="15">
        <v>4</v>
      </c>
      <c r="D137" s="171">
        <f t="shared" si="12"/>
        <v>3.1496062992125984E-2</v>
      </c>
    </row>
    <row r="138" spans="1:4" x14ac:dyDescent="0.3">
      <c r="A138" s="25" t="s">
        <v>100</v>
      </c>
      <c r="B138" s="15" t="s">
        <v>79</v>
      </c>
      <c r="C138" s="15">
        <v>16</v>
      </c>
      <c r="D138" s="171">
        <f t="shared" si="12"/>
        <v>0.12598425196850394</v>
      </c>
    </row>
    <row r="139" spans="1:4" x14ac:dyDescent="0.3">
      <c r="A139" s="25" t="s">
        <v>101</v>
      </c>
      <c r="B139" s="15" t="s">
        <v>79</v>
      </c>
      <c r="C139" s="15">
        <v>3</v>
      </c>
      <c r="D139" s="171">
        <f t="shared" si="12"/>
        <v>2.3622047244094488E-2</v>
      </c>
    </row>
    <row r="140" spans="1:4" x14ac:dyDescent="0.3">
      <c r="A140" s="25" t="s">
        <v>102</v>
      </c>
      <c r="B140" s="15" t="s">
        <v>79</v>
      </c>
      <c r="C140" s="15">
        <v>3</v>
      </c>
      <c r="D140" s="171">
        <f t="shared" si="12"/>
        <v>2.3622047244094488E-2</v>
      </c>
    </row>
    <row r="141" spans="1:4" x14ac:dyDescent="0.3">
      <c r="A141" s="25" t="s">
        <v>103</v>
      </c>
      <c r="B141" s="15" t="s">
        <v>79</v>
      </c>
      <c r="C141" s="15">
        <v>2</v>
      </c>
      <c r="D141" s="171">
        <f t="shared" si="12"/>
        <v>1.5748031496062992E-2</v>
      </c>
    </row>
    <row r="142" spans="1:4" x14ac:dyDescent="0.3">
      <c r="A142" s="25" t="s">
        <v>138</v>
      </c>
      <c r="B142" s="15" t="s">
        <v>81</v>
      </c>
      <c r="C142" s="15">
        <v>0</v>
      </c>
      <c r="D142" s="171">
        <f t="shared" si="12"/>
        <v>0</v>
      </c>
    </row>
    <row r="143" spans="1:4" x14ac:dyDescent="0.3">
      <c r="A143" s="25" t="s">
        <v>106</v>
      </c>
      <c r="B143" s="15" t="s">
        <v>81</v>
      </c>
      <c r="C143" s="15">
        <v>1</v>
      </c>
      <c r="D143" s="171">
        <f t="shared" si="12"/>
        <v>7.874015748031496E-3</v>
      </c>
    </row>
    <row r="144" spans="1:4" x14ac:dyDescent="0.3">
      <c r="A144" s="25" t="s">
        <v>107</v>
      </c>
      <c r="B144" s="15" t="s">
        <v>81</v>
      </c>
      <c r="C144" s="15">
        <v>32</v>
      </c>
      <c r="D144" s="171">
        <f t="shared" si="12"/>
        <v>0.25196850393700787</v>
      </c>
    </row>
    <row r="145" spans="1:8" x14ac:dyDescent="0.3">
      <c r="A145" s="25" t="s">
        <v>108</v>
      </c>
      <c r="B145" s="15" t="s">
        <v>81</v>
      </c>
      <c r="C145" s="15">
        <v>1</v>
      </c>
      <c r="D145" s="171">
        <f t="shared" si="12"/>
        <v>7.874015748031496E-3</v>
      </c>
    </row>
    <row r="146" spans="1:8" ht="14.5" thickBot="1" x14ac:dyDescent="0.35">
      <c r="A146" s="34" t="s">
        <v>109</v>
      </c>
      <c r="B146" s="24" t="s">
        <v>110</v>
      </c>
      <c r="C146" s="24">
        <v>4</v>
      </c>
      <c r="D146" s="169" t="s">
        <v>111</v>
      </c>
    </row>
    <row r="147" spans="1:8" x14ac:dyDescent="0.3">
      <c r="A147" s="37"/>
      <c r="B147" s="37"/>
      <c r="C147" s="37"/>
      <c r="D147" s="219"/>
    </row>
    <row r="148" spans="1:8" x14ac:dyDescent="0.3">
      <c r="C148" s="17"/>
    </row>
    <row r="149" spans="1:8" ht="14.5" thickBot="1" x14ac:dyDescent="0.35">
      <c r="C149" s="17"/>
    </row>
    <row r="150" spans="1:8" x14ac:dyDescent="0.3">
      <c r="A150" s="8" t="s">
        <v>112</v>
      </c>
      <c r="B150" s="73" t="s">
        <v>68</v>
      </c>
      <c r="C150" s="9" t="s">
        <v>49</v>
      </c>
      <c r="D150" s="58" t="s">
        <v>50</v>
      </c>
      <c r="E150" s="44"/>
      <c r="F150" s="163" t="s">
        <v>113</v>
      </c>
      <c r="G150" s="9" t="s">
        <v>114</v>
      </c>
      <c r="H150" s="58" t="s">
        <v>50</v>
      </c>
    </row>
    <row r="151" spans="1:8" x14ac:dyDescent="0.3">
      <c r="A151" s="25" t="s">
        <v>71</v>
      </c>
      <c r="B151" s="15" t="s">
        <v>72</v>
      </c>
      <c r="C151" s="15">
        <v>5</v>
      </c>
      <c r="D151" s="171">
        <f>C151/34</f>
        <v>0.14705882352941177</v>
      </c>
      <c r="E151" s="45"/>
      <c r="F151" s="25" t="s">
        <v>72</v>
      </c>
      <c r="G151" s="15">
        <v>8</v>
      </c>
      <c r="H151" s="171">
        <f t="shared" ref="H151:H155" si="13">G151/34</f>
        <v>0.23529411764705882</v>
      </c>
    </row>
    <row r="152" spans="1:8" x14ac:dyDescent="0.3">
      <c r="A152" s="25" t="s">
        <v>75</v>
      </c>
      <c r="B152" s="15" t="s">
        <v>72</v>
      </c>
      <c r="C152" s="15">
        <v>1</v>
      </c>
      <c r="D152" s="171">
        <f t="shared" ref="D152:D166" si="14">C152/34</f>
        <v>2.9411764705882353E-2</v>
      </c>
      <c r="E152" s="45"/>
      <c r="F152" s="101" t="s">
        <v>76</v>
      </c>
      <c r="G152" s="15">
        <v>10</v>
      </c>
      <c r="H152" s="171">
        <f t="shared" si="13"/>
        <v>0.29411764705882354</v>
      </c>
    </row>
    <row r="153" spans="1:8" x14ac:dyDescent="0.3">
      <c r="A153" s="25" t="s">
        <v>77</v>
      </c>
      <c r="B153" s="15" t="s">
        <v>72</v>
      </c>
      <c r="C153" s="15">
        <v>2</v>
      </c>
      <c r="D153" s="171">
        <f t="shared" si="14"/>
        <v>5.8823529411764705E-2</v>
      </c>
      <c r="E153" s="45"/>
      <c r="F153" s="25" t="s">
        <v>78</v>
      </c>
      <c r="G153" s="15">
        <v>1</v>
      </c>
      <c r="H153" s="171">
        <f t="shared" si="13"/>
        <v>2.9411764705882353E-2</v>
      </c>
    </row>
    <row r="154" spans="1:8" x14ac:dyDescent="0.3">
      <c r="A154" s="25" t="s">
        <v>115</v>
      </c>
      <c r="B154" s="15" t="s">
        <v>76</v>
      </c>
      <c r="C154" s="15">
        <v>1</v>
      </c>
      <c r="D154" s="171">
        <f t="shared" si="14"/>
        <v>2.9411764705882353E-2</v>
      </c>
      <c r="E154" s="45"/>
      <c r="F154" s="25" t="s">
        <v>79</v>
      </c>
      <c r="G154" s="15">
        <v>6</v>
      </c>
      <c r="H154" s="171">
        <f t="shared" si="13"/>
        <v>0.17647058823529413</v>
      </c>
    </row>
    <row r="155" spans="1:8" ht="14.5" thickBot="1" x14ac:dyDescent="0.35">
      <c r="A155" s="25" t="s">
        <v>85</v>
      </c>
      <c r="B155" s="15" t="s">
        <v>76</v>
      </c>
      <c r="C155" s="15">
        <v>3</v>
      </c>
      <c r="D155" s="171">
        <f t="shared" si="14"/>
        <v>8.8235294117647065E-2</v>
      </c>
      <c r="E155" s="45"/>
      <c r="F155" s="34" t="s">
        <v>81</v>
      </c>
      <c r="G155" s="24">
        <v>9</v>
      </c>
      <c r="H155" s="228">
        <f t="shared" si="13"/>
        <v>0.26470588235294118</v>
      </c>
    </row>
    <row r="156" spans="1:8" x14ac:dyDescent="0.3">
      <c r="A156" s="25" t="s">
        <v>86</v>
      </c>
      <c r="B156" s="15" t="s">
        <v>76</v>
      </c>
      <c r="C156" s="15">
        <v>2</v>
      </c>
      <c r="D156" s="171">
        <f t="shared" si="14"/>
        <v>5.8823529411764705E-2</v>
      </c>
      <c r="E156" s="45"/>
      <c r="F156" s="172"/>
      <c r="G156" s="45"/>
      <c r="H156" s="170"/>
    </row>
    <row r="157" spans="1:8" x14ac:dyDescent="0.3">
      <c r="A157" s="25" t="s">
        <v>90</v>
      </c>
      <c r="B157" s="15" t="s">
        <v>76</v>
      </c>
      <c r="C157" s="15">
        <v>1</v>
      </c>
      <c r="D157" s="171">
        <f t="shared" si="14"/>
        <v>2.9411764705882353E-2</v>
      </c>
      <c r="E157" s="45"/>
      <c r="F157" s="45"/>
      <c r="G157" s="45"/>
      <c r="H157" s="45"/>
    </row>
    <row r="158" spans="1:8" x14ac:dyDescent="0.3">
      <c r="A158" s="25" t="s">
        <v>92</v>
      </c>
      <c r="B158" s="15" t="s">
        <v>76</v>
      </c>
      <c r="C158" s="15">
        <v>2</v>
      </c>
      <c r="D158" s="171">
        <f t="shared" si="14"/>
        <v>5.8823529411764705E-2</v>
      </c>
      <c r="F158" s="45"/>
      <c r="G158" s="45"/>
      <c r="H158" s="45"/>
    </row>
    <row r="159" spans="1:8" x14ac:dyDescent="0.3">
      <c r="A159" s="25" t="s">
        <v>93</v>
      </c>
      <c r="B159" s="15" t="s">
        <v>76</v>
      </c>
      <c r="C159" s="15">
        <v>1</v>
      </c>
      <c r="D159" s="171">
        <f t="shared" si="14"/>
        <v>2.9411764705882353E-2</v>
      </c>
    </row>
    <row r="160" spans="1:8" x14ac:dyDescent="0.3">
      <c r="A160" s="25" t="s">
        <v>96</v>
      </c>
      <c r="B160" s="15" t="s">
        <v>78</v>
      </c>
      <c r="C160" s="15">
        <v>1</v>
      </c>
      <c r="D160" s="171">
        <f t="shared" si="14"/>
        <v>2.9411764705882353E-2</v>
      </c>
    </row>
    <row r="161" spans="1:4" x14ac:dyDescent="0.3">
      <c r="A161" s="25" t="s">
        <v>98</v>
      </c>
      <c r="B161" s="15" t="s">
        <v>79</v>
      </c>
      <c r="C161" s="15">
        <v>1</v>
      </c>
      <c r="D161" s="171">
        <f t="shared" si="14"/>
        <v>2.9411764705882353E-2</v>
      </c>
    </row>
    <row r="162" spans="1:4" x14ac:dyDescent="0.3">
      <c r="A162" s="25" t="s">
        <v>100</v>
      </c>
      <c r="B162" s="15" t="s">
        <v>79</v>
      </c>
      <c r="C162" s="15">
        <v>1</v>
      </c>
      <c r="D162" s="171">
        <f t="shared" si="14"/>
        <v>2.9411764705882353E-2</v>
      </c>
    </row>
    <row r="163" spans="1:4" x14ac:dyDescent="0.3">
      <c r="A163" s="25" t="s">
        <v>101</v>
      </c>
      <c r="B163" s="15" t="s">
        <v>79</v>
      </c>
      <c r="C163" s="15">
        <v>2</v>
      </c>
      <c r="D163" s="171">
        <f t="shared" si="14"/>
        <v>5.8823529411764705E-2</v>
      </c>
    </row>
    <row r="164" spans="1:4" x14ac:dyDescent="0.3">
      <c r="A164" s="25" t="s">
        <v>102</v>
      </c>
      <c r="B164" s="15" t="s">
        <v>79</v>
      </c>
      <c r="C164" s="15">
        <v>1</v>
      </c>
      <c r="D164" s="171">
        <f t="shared" si="14"/>
        <v>2.9411764705882353E-2</v>
      </c>
    </row>
    <row r="165" spans="1:4" x14ac:dyDescent="0.3">
      <c r="A165" s="25" t="s">
        <v>103</v>
      </c>
      <c r="B165" s="15" t="s">
        <v>79</v>
      </c>
      <c r="C165" s="15">
        <v>1</v>
      </c>
      <c r="D165" s="171">
        <f t="shared" si="14"/>
        <v>2.9411764705882353E-2</v>
      </c>
    </row>
    <row r="166" spans="1:4" x14ac:dyDescent="0.3">
      <c r="A166" s="25" t="s">
        <v>107</v>
      </c>
      <c r="B166" s="15" t="s">
        <v>81</v>
      </c>
      <c r="C166" s="15">
        <v>9</v>
      </c>
      <c r="D166" s="171">
        <f t="shared" si="14"/>
        <v>0.26470588235294118</v>
      </c>
    </row>
    <row r="167" spans="1:4" ht="14.5" thickBot="1" x14ac:dyDescent="0.35">
      <c r="A167" s="34" t="s">
        <v>109</v>
      </c>
      <c r="B167" s="24" t="s">
        <v>110</v>
      </c>
      <c r="C167" s="24">
        <v>1</v>
      </c>
      <c r="D167" s="169" t="s">
        <v>111</v>
      </c>
    </row>
    <row r="168" spans="1:4" x14ac:dyDescent="0.3">
      <c r="A168" s="37"/>
      <c r="B168" s="37"/>
      <c r="C168" s="37"/>
      <c r="D168" s="219"/>
    </row>
    <row r="169" spans="1:4" x14ac:dyDescent="0.3">
      <c r="A169" s="37"/>
      <c r="B169" s="37"/>
      <c r="C169" s="37"/>
      <c r="D169" s="219"/>
    </row>
    <row r="170" spans="1:4" x14ac:dyDescent="0.3">
      <c r="A170" s="37"/>
      <c r="B170" s="37"/>
      <c r="C170" s="37"/>
      <c r="D170" s="219"/>
    </row>
    <row r="171" spans="1:4" x14ac:dyDescent="0.3">
      <c r="A171" s="37"/>
      <c r="B171" s="37"/>
      <c r="C171" s="37"/>
      <c r="D171" s="219"/>
    </row>
    <row r="172" spans="1:4" x14ac:dyDescent="0.3">
      <c r="C172" s="17"/>
    </row>
    <row r="173" spans="1:4" x14ac:dyDescent="0.3">
      <c r="C173" s="17"/>
    </row>
    <row r="174" spans="1:4" x14ac:dyDescent="0.3">
      <c r="C174" s="17"/>
    </row>
    <row r="175" spans="1:4" x14ac:dyDescent="0.3">
      <c r="C175" s="17"/>
    </row>
    <row r="176" spans="1:4" x14ac:dyDescent="0.3">
      <c r="C176" s="17"/>
    </row>
    <row r="177" spans="1:8" ht="14.5" thickBot="1" x14ac:dyDescent="0.35">
      <c r="F177" s="14"/>
    </row>
    <row r="178" spans="1:8" x14ac:dyDescent="0.3">
      <c r="A178" s="8" t="s">
        <v>119</v>
      </c>
      <c r="B178" s="9" t="s">
        <v>68</v>
      </c>
      <c r="C178" s="9" t="s">
        <v>49</v>
      </c>
      <c r="D178" s="58" t="s">
        <v>50</v>
      </c>
      <c r="E178" s="1"/>
      <c r="F178" s="163" t="s">
        <v>120</v>
      </c>
      <c r="G178" s="9" t="s">
        <v>114</v>
      </c>
      <c r="H178" s="58" t="s">
        <v>50</v>
      </c>
    </row>
    <row r="179" spans="1:8" x14ac:dyDescent="0.3">
      <c r="A179" s="25" t="s">
        <v>71</v>
      </c>
      <c r="B179" s="15" t="s">
        <v>72</v>
      </c>
      <c r="C179" s="15">
        <v>236</v>
      </c>
      <c r="D179" s="171">
        <f>C179/427</f>
        <v>0.5526932084309133</v>
      </c>
      <c r="E179" s="45"/>
      <c r="F179" s="25" t="s">
        <v>72</v>
      </c>
      <c r="G179" s="15">
        <v>297</v>
      </c>
      <c r="H179" s="171">
        <v>0.69</v>
      </c>
    </row>
    <row r="180" spans="1:8" x14ac:dyDescent="0.3">
      <c r="A180" s="25" t="s">
        <v>73</v>
      </c>
      <c r="B180" s="15" t="s">
        <v>72</v>
      </c>
      <c r="C180" s="15">
        <v>29</v>
      </c>
      <c r="D180" s="171">
        <f t="shared" ref="D180:D197" si="15">C180/427</f>
        <v>6.7915690866510545E-2</v>
      </c>
      <c r="E180" s="45"/>
      <c r="F180" s="101" t="s">
        <v>76</v>
      </c>
      <c r="G180" s="15">
        <v>3</v>
      </c>
      <c r="H180" s="171">
        <f t="shared" ref="H180:H183" si="16">G180/427</f>
        <v>7.0257611241217799E-3</v>
      </c>
    </row>
    <row r="181" spans="1:8" x14ac:dyDescent="0.3">
      <c r="A181" s="25" t="s">
        <v>75</v>
      </c>
      <c r="B181" s="15" t="s">
        <v>72</v>
      </c>
      <c r="C181" s="15">
        <v>27</v>
      </c>
      <c r="D181" s="171">
        <f t="shared" si="15"/>
        <v>6.323185011709602E-2</v>
      </c>
      <c r="E181" s="45"/>
      <c r="F181" s="25" t="s">
        <v>78</v>
      </c>
      <c r="G181" s="15">
        <v>4</v>
      </c>
      <c r="H181" s="171">
        <f t="shared" si="16"/>
        <v>9.3676814988290398E-3</v>
      </c>
    </row>
    <row r="182" spans="1:8" x14ac:dyDescent="0.3">
      <c r="A182" s="25" t="s">
        <v>77</v>
      </c>
      <c r="B182" s="15" t="s">
        <v>72</v>
      </c>
      <c r="C182" s="15">
        <v>5</v>
      </c>
      <c r="D182" s="171">
        <f t="shared" si="15"/>
        <v>1.1709601873536301E-2</v>
      </c>
      <c r="E182" s="45"/>
      <c r="F182" s="25" t="s">
        <v>79</v>
      </c>
      <c r="G182" s="15">
        <v>88</v>
      </c>
      <c r="H182" s="171">
        <f t="shared" si="16"/>
        <v>0.20608899297423888</v>
      </c>
    </row>
    <row r="183" spans="1:8" ht="14.5" thickBot="1" x14ac:dyDescent="0.35">
      <c r="A183" s="25" t="s">
        <v>115</v>
      </c>
      <c r="B183" s="15" t="s">
        <v>76</v>
      </c>
      <c r="C183" s="15">
        <v>1</v>
      </c>
      <c r="D183" s="171">
        <f t="shared" si="15"/>
        <v>2.34192037470726E-3</v>
      </c>
      <c r="E183" s="45"/>
      <c r="F183" s="34" t="s">
        <v>81</v>
      </c>
      <c r="G183" s="24">
        <v>35</v>
      </c>
      <c r="H183" s="228">
        <f t="shared" si="16"/>
        <v>8.1967213114754092E-2</v>
      </c>
    </row>
    <row r="184" spans="1:8" x14ac:dyDescent="0.3">
      <c r="A184" s="25" t="s">
        <v>86</v>
      </c>
      <c r="B184" s="15" t="s">
        <v>76</v>
      </c>
      <c r="C184" s="15">
        <v>1</v>
      </c>
      <c r="D184" s="171">
        <f t="shared" si="15"/>
        <v>2.34192037470726E-3</v>
      </c>
      <c r="E184" s="45"/>
      <c r="F184" s="172"/>
      <c r="G184" s="45"/>
      <c r="H184" s="170"/>
    </row>
    <row r="185" spans="1:8" x14ac:dyDescent="0.3">
      <c r="A185" s="25" t="s">
        <v>87</v>
      </c>
      <c r="B185" s="15" t="s">
        <v>76</v>
      </c>
      <c r="C185" s="15">
        <v>1</v>
      </c>
      <c r="D185" s="171">
        <f t="shared" si="15"/>
        <v>2.34192037470726E-3</v>
      </c>
      <c r="E185" s="45"/>
      <c r="F185" s="45"/>
      <c r="G185" s="45"/>
      <c r="H185" s="45"/>
    </row>
    <row r="186" spans="1:8" x14ac:dyDescent="0.3">
      <c r="A186" s="25" t="s">
        <v>95</v>
      </c>
      <c r="B186" s="15" t="s">
        <v>78</v>
      </c>
      <c r="C186" s="15">
        <v>1</v>
      </c>
      <c r="D186" s="171">
        <f t="shared" si="15"/>
        <v>2.34192037470726E-3</v>
      </c>
    </row>
    <row r="187" spans="1:8" x14ac:dyDescent="0.3">
      <c r="A187" s="25" t="s">
        <v>96</v>
      </c>
      <c r="B187" s="15" t="s">
        <v>78</v>
      </c>
      <c r="C187" s="15">
        <v>3</v>
      </c>
      <c r="D187" s="171">
        <f t="shared" si="15"/>
        <v>7.0257611241217799E-3</v>
      </c>
    </row>
    <row r="188" spans="1:8" x14ac:dyDescent="0.3">
      <c r="A188" s="25" t="s">
        <v>98</v>
      </c>
      <c r="B188" s="15" t="s">
        <v>79</v>
      </c>
      <c r="C188" s="15">
        <v>7</v>
      </c>
      <c r="D188" s="171">
        <f t="shared" si="15"/>
        <v>1.6393442622950821E-2</v>
      </c>
    </row>
    <row r="189" spans="1:8" x14ac:dyDescent="0.3">
      <c r="A189" s="25" t="s">
        <v>99</v>
      </c>
      <c r="B189" s="15" t="s">
        <v>79</v>
      </c>
      <c r="C189" s="15">
        <v>1</v>
      </c>
      <c r="D189" s="171">
        <f t="shared" si="15"/>
        <v>2.34192037470726E-3</v>
      </c>
    </row>
    <row r="190" spans="1:8" x14ac:dyDescent="0.3">
      <c r="A190" s="25" t="s">
        <v>100</v>
      </c>
      <c r="B190" s="15" t="s">
        <v>79</v>
      </c>
      <c r="C190" s="15">
        <v>1</v>
      </c>
      <c r="D190" s="171">
        <f t="shared" si="15"/>
        <v>2.34192037470726E-3</v>
      </c>
    </row>
    <row r="191" spans="1:8" x14ac:dyDescent="0.3">
      <c r="A191" s="25" t="s">
        <v>102</v>
      </c>
      <c r="B191" s="15" t="s">
        <v>79</v>
      </c>
      <c r="C191" s="15">
        <v>16</v>
      </c>
      <c r="D191" s="171">
        <f t="shared" si="15"/>
        <v>3.7470725995316159E-2</v>
      </c>
    </row>
    <row r="192" spans="1:8" x14ac:dyDescent="0.3">
      <c r="A192" s="25" t="s">
        <v>103</v>
      </c>
      <c r="B192" s="15" t="s">
        <v>79</v>
      </c>
      <c r="C192" s="15">
        <v>59</v>
      </c>
      <c r="D192" s="171">
        <f t="shared" si="15"/>
        <v>0.13817330210772832</v>
      </c>
    </row>
    <row r="193" spans="1:8" x14ac:dyDescent="0.3">
      <c r="A193" s="25" t="s">
        <v>104</v>
      </c>
      <c r="B193" s="15" t="s">
        <v>79</v>
      </c>
      <c r="C193" s="15">
        <v>4</v>
      </c>
      <c r="D193" s="171">
        <f t="shared" si="15"/>
        <v>9.3676814988290398E-3</v>
      </c>
    </row>
    <row r="194" spans="1:8" x14ac:dyDescent="0.3">
      <c r="A194" s="25" t="s">
        <v>138</v>
      </c>
      <c r="B194" s="15" t="s">
        <v>81</v>
      </c>
      <c r="C194" s="15">
        <v>7</v>
      </c>
      <c r="D194" s="171">
        <f t="shared" si="15"/>
        <v>1.6393442622950821E-2</v>
      </c>
    </row>
    <row r="195" spans="1:8" x14ac:dyDescent="0.3">
      <c r="A195" s="25" t="s">
        <v>106</v>
      </c>
      <c r="B195" s="15" t="s">
        <v>81</v>
      </c>
      <c r="C195" s="15">
        <v>3</v>
      </c>
      <c r="D195" s="171">
        <f t="shared" si="15"/>
        <v>7.0257611241217799E-3</v>
      </c>
    </row>
    <row r="196" spans="1:8" x14ac:dyDescent="0.3">
      <c r="A196" s="25" t="s">
        <v>107</v>
      </c>
      <c r="B196" s="15" t="s">
        <v>81</v>
      </c>
      <c r="C196" s="15">
        <v>4</v>
      </c>
      <c r="D196" s="171">
        <f t="shared" si="15"/>
        <v>9.3676814988290398E-3</v>
      </c>
    </row>
    <row r="197" spans="1:8" x14ac:dyDescent="0.3">
      <c r="A197" s="25" t="s">
        <v>124</v>
      </c>
      <c r="B197" s="15" t="s">
        <v>81</v>
      </c>
      <c r="C197" s="15">
        <v>21</v>
      </c>
      <c r="D197" s="171">
        <f t="shared" si="15"/>
        <v>4.9180327868852458E-2</v>
      </c>
    </row>
    <row r="198" spans="1:8" ht="14.5" thickBot="1" x14ac:dyDescent="0.35">
      <c r="A198" s="34" t="s">
        <v>109</v>
      </c>
      <c r="B198" s="24" t="s">
        <v>125</v>
      </c>
      <c r="C198" s="24">
        <v>22</v>
      </c>
      <c r="D198" s="169" t="s">
        <v>111</v>
      </c>
    </row>
    <row r="199" spans="1:8" x14ac:dyDescent="0.3">
      <c r="A199" s="104"/>
      <c r="B199" s="37"/>
      <c r="C199" s="37"/>
      <c r="D199" s="219"/>
    </row>
    <row r="200" spans="1:8" x14ac:dyDescent="0.3">
      <c r="A200" s="104"/>
      <c r="B200" s="37"/>
      <c r="C200" s="37"/>
      <c r="D200" s="219"/>
    </row>
    <row r="201" spans="1:8" x14ac:dyDescent="0.3">
      <c r="A201" s="104"/>
      <c r="B201" s="37"/>
      <c r="C201" s="37"/>
      <c r="D201" s="219"/>
    </row>
    <row r="202" spans="1:8" x14ac:dyDescent="0.3">
      <c r="A202" s="104"/>
      <c r="B202" s="37"/>
      <c r="C202" s="37"/>
      <c r="D202" s="219"/>
    </row>
    <row r="203" spans="1:8" x14ac:dyDescent="0.3">
      <c r="A203" s="104"/>
      <c r="B203" s="37"/>
      <c r="C203" s="37"/>
      <c r="D203" s="219"/>
    </row>
    <row r="204" spans="1:8" x14ac:dyDescent="0.3">
      <c r="A204" s="104"/>
      <c r="B204" s="37"/>
      <c r="C204" s="37"/>
      <c r="D204" s="219"/>
    </row>
    <row r="205" spans="1:8" x14ac:dyDescent="0.3">
      <c r="A205" s="104"/>
    </row>
    <row r="206" spans="1:8" ht="14.5" thickBot="1" x14ac:dyDescent="0.35">
      <c r="A206" s="104"/>
    </row>
    <row r="207" spans="1:8" x14ac:dyDescent="0.3">
      <c r="A207" s="8" t="s">
        <v>126</v>
      </c>
      <c r="B207" s="9" t="s">
        <v>68</v>
      </c>
      <c r="C207" s="9" t="s">
        <v>49</v>
      </c>
      <c r="D207" s="58" t="s">
        <v>50</v>
      </c>
      <c r="F207" s="163" t="s">
        <v>127</v>
      </c>
      <c r="G207" s="9" t="s">
        <v>114</v>
      </c>
      <c r="H207" s="58" t="s">
        <v>50</v>
      </c>
    </row>
    <row r="208" spans="1:8" x14ac:dyDescent="0.3">
      <c r="A208" s="25" t="s">
        <v>71</v>
      </c>
      <c r="B208" s="15" t="s">
        <v>72</v>
      </c>
      <c r="C208" s="15">
        <v>14</v>
      </c>
      <c r="D208" s="171">
        <f>C208/231</f>
        <v>6.0606060606060608E-2</v>
      </c>
      <c r="F208" s="25" t="s">
        <v>72</v>
      </c>
      <c r="G208" s="15">
        <v>32</v>
      </c>
      <c r="H208" s="171">
        <f t="shared" ref="H208:H213" si="17">G208/231</f>
        <v>0.13852813852813853</v>
      </c>
    </row>
    <row r="209" spans="1:8" x14ac:dyDescent="0.3">
      <c r="A209" s="25" t="s">
        <v>73</v>
      </c>
      <c r="B209" s="15" t="s">
        <v>72</v>
      </c>
      <c r="C209" s="15">
        <v>3</v>
      </c>
      <c r="D209" s="171">
        <f t="shared" ref="D209:D234" si="18">C209/231</f>
        <v>1.2987012987012988E-2</v>
      </c>
      <c r="F209" s="25" t="s">
        <v>74</v>
      </c>
      <c r="G209" s="15">
        <v>5</v>
      </c>
      <c r="H209" s="171">
        <f t="shared" si="17"/>
        <v>2.1645021645021644E-2</v>
      </c>
    </row>
    <row r="210" spans="1:8" x14ac:dyDescent="0.3">
      <c r="A210" s="25" t="s">
        <v>75</v>
      </c>
      <c r="B210" s="15" t="s">
        <v>72</v>
      </c>
      <c r="C210" s="15">
        <v>14</v>
      </c>
      <c r="D210" s="171">
        <f t="shared" si="18"/>
        <v>6.0606060606060608E-2</v>
      </c>
      <c r="E210" s="1"/>
      <c r="F210" s="101" t="s">
        <v>76</v>
      </c>
      <c r="G210" s="15">
        <v>72</v>
      </c>
      <c r="H210" s="171">
        <f t="shared" si="17"/>
        <v>0.31168831168831168</v>
      </c>
    </row>
    <row r="211" spans="1:8" x14ac:dyDescent="0.3">
      <c r="A211" s="25" t="s">
        <v>77</v>
      </c>
      <c r="B211" s="15" t="s">
        <v>72</v>
      </c>
      <c r="C211" s="15">
        <v>1</v>
      </c>
      <c r="D211" s="171">
        <f t="shared" si="18"/>
        <v>4.329004329004329E-3</v>
      </c>
      <c r="E211" s="45"/>
      <c r="F211" s="25" t="s">
        <v>78</v>
      </c>
      <c r="G211" s="15">
        <v>44</v>
      </c>
      <c r="H211" s="171">
        <f t="shared" si="17"/>
        <v>0.19047619047619047</v>
      </c>
    </row>
    <row r="212" spans="1:8" x14ac:dyDescent="0.3">
      <c r="A212" s="25" t="s">
        <v>74</v>
      </c>
      <c r="B212" s="15" t="s">
        <v>74</v>
      </c>
      <c r="C212" s="15">
        <v>5</v>
      </c>
      <c r="D212" s="171">
        <f t="shared" si="18"/>
        <v>2.1645021645021644E-2</v>
      </c>
      <c r="E212" s="45"/>
      <c r="F212" s="25" t="s">
        <v>79</v>
      </c>
      <c r="G212" s="15">
        <v>32</v>
      </c>
      <c r="H212" s="171">
        <f t="shared" si="17"/>
        <v>0.13852813852813853</v>
      </c>
    </row>
    <row r="213" spans="1:8" ht="14.5" thickBot="1" x14ac:dyDescent="0.35">
      <c r="A213" s="25" t="s">
        <v>115</v>
      </c>
      <c r="B213" s="15" t="s">
        <v>76</v>
      </c>
      <c r="C213" s="15">
        <v>11</v>
      </c>
      <c r="D213" s="171">
        <f t="shared" si="18"/>
        <v>4.7619047619047616E-2</v>
      </c>
      <c r="E213" s="45"/>
      <c r="F213" s="34" t="s">
        <v>81</v>
      </c>
      <c r="G213" s="24">
        <v>46</v>
      </c>
      <c r="H213" s="228">
        <f t="shared" si="17"/>
        <v>0.19913419913419914</v>
      </c>
    </row>
    <row r="214" spans="1:8" x14ac:dyDescent="0.3">
      <c r="A214" s="25" t="s">
        <v>84</v>
      </c>
      <c r="B214" s="15" t="s">
        <v>76</v>
      </c>
      <c r="C214" s="15">
        <v>1</v>
      </c>
      <c r="D214" s="171">
        <f t="shared" si="18"/>
        <v>4.329004329004329E-3</v>
      </c>
      <c r="E214" s="45"/>
    </row>
    <row r="215" spans="1:8" x14ac:dyDescent="0.3">
      <c r="A215" s="25" t="s">
        <v>85</v>
      </c>
      <c r="B215" s="15" t="s">
        <v>76</v>
      </c>
      <c r="C215" s="15">
        <v>3</v>
      </c>
      <c r="D215" s="171">
        <f t="shared" si="18"/>
        <v>1.2987012987012988E-2</v>
      </c>
      <c r="E215" s="45"/>
    </row>
    <row r="216" spans="1:8" x14ac:dyDescent="0.3">
      <c r="A216" s="25" t="s">
        <v>87</v>
      </c>
      <c r="B216" s="15" t="s">
        <v>76</v>
      </c>
      <c r="C216" s="15">
        <v>9</v>
      </c>
      <c r="D216" s="171">
        <f t="shared" si="18"/>
        <v>3.896103896103896E-2</v>
      </c>
      <c r="E216" s="45"/>
    </row>
    <row r="217" spans="1:8" x14ac:dyDescent="0.3">
      <c r="A217" s="25" t="s">
        <v>88</v>
      </c>
      <c r="B217" s="15" t="s">
        <v>76</v>
      </c>
      <c r="C217" s="15">
        <v>1</v>
      </c>
      <c r="D217" s="171">
        <f t="shared" si="18"/>
        <v>4.329004329004329E-3</v>
      </c>
    </row>
    <row r="218" spans="1:8" x14ac:dyDescent="0.3">
      <c r="A218" s="25" t="s">
        <v>90</v>
      </c>
      <c r="B218" s="15" t="s">
        <v>76</v>
      </c>
      <c r="C218" s="15">
        <v>27</v>
      </c>
      <c r="D218" s="171">
        <f t="shared" si="18"/>
        <v>0.11688311688311688</v>
      </c>
    </row>
    <row r="219" spans="1:8" x14ac:dyDescent="0.3">
      <c r="A219" s="25" t="s">
        <v>91</v>
      </c>
      <c r="B219" s="15" t="s">
        <v>76</v>
      </c>
      <c r="C219" s="15">
        <v>6</v>
      </c>
      <c r="D219" s="171">
        <f t="shared" si="18"/>
        <v>2.5974025974025976E-2</v>
      </c>
    </row>
    <row r="220" spans="1:8" x14ac:dyDescent="0.3">
      <c r="A220" s="25" t="s">
        <v>92</v>
      </c>
      <c r="B220" s="15" t="s">
        <v>76</v>
      </c>
      <c r="C220" s="15">
        <v>5</v>
      </c>
      <c r="D220" s="171">
        <f t="shared" si="18"/>
        <v>2.1645021645021644E-2</v>
      </c>
    </row>
    <row r="221" spans="1:8" x14ac:dyDescent="0.3">
      <c r="A221" s="25" t="s">
        <v>93</v>
      </c>
      <c r="B221" s="15" t="s">
        <v>76</v>
      </c>
      <c r="C221" s="15">
        <v>9</v>
      </c>
      <c r="D221" s="171">
        <f t="shared" si="18"/>
        <v>3.896103896103896E-2</v>
      </c>
    </row>
    <row r="222" spans="1:8" x14ac:dyDescent="0.3">
      <c r="A222" s="25" t="s">
        <v>94</v>
      </c>
      <c r="B222" s="15" t="s">
        <v>78</v>
      </c>
      <c r="C222" s="15">
        <v>2</v>
      </c>
      <c r="D222" s="171">
        <f t="shared" si="18"/>
        <v>8.658008658008658E-3</v>
      </c>
    </row>
    <row r="223" spans="1:8" x14ac:dyDescent="0.3">
      <c r="A223" s="25" t="s">
        <v>95</v>
      </c>
      <c r="B223" s="15" t="s">
        <v>78</v>
      </c>
      <c r="C223" s="15">
        <v>12</v>
      </c>
      <c r="D223" s="171">
        <f t="shared" si="18"/>
        <v>5.1948051948051951E-2</v>
      </c>
    </row>
    <row r="224" spans="1:8" x14ac:dyDescent="0.3">
      <c r="A224" s="25" t="s">
        <v>96</v>
      </c>
      <c r="B224" s="15" t="s">
        <v>78</v>
      </c>
      <c r="C224" s="15">
        <v>30</v>
      </c>
      <c r="D224" s="171">
        <f t="shared" si="18"/>
        <v>0.12987012987012986</v>
      </c>
    </row>
    <row r="225" spans="1:8" x14ac:dyDescent="0.3">
      <c r="A225" s="25" t="s">
        <v>97</v>
      </c>
      <c r="B225" s="15" t="s">
        <v>79</v>
      </c>
      <c r="C225" s="15">
        <v>13</v>
      </c>
      <c r="D225" s="171">
        <f t="shared" si="18"/>
        <v>5.627705627705628E-2</v>
      </c>
    </row>
    <row r="226" spans="1:8" x14ac:dyDescent="0.3">
      <c r="A226" s="25" t="s">
        <v>99</v>
      </c>
      <c r="B226" s="15" t="s">
        <v>79</v>
      </c>
      <c r="C226" s="15">
        <v>2</v>
      </c>
      <c r="D226" s="171">
        <f t="shared" si="18"/>
        <v>8.658008658008658E-3</v>
      </c>
    </row>
    <row r="227" spans="1:8" x14ac:dyDescent="0.3">
      <c r="A227" s="25" t="s">
        <v>100</v>
      </c>
      <c r="B227" s="15" t="s">
        <v>79</v>
      </c>
      <c r="C227" s="15">
        <v>8</v>
      </c>
      <c r="D227" s="171">
        <f t="shared" si="18"/>
        <v>3.4632034632034632E-2</v>
      </c>
    </row>
    <row r="228" spans="1:8" x14ac:dyDescent="0.3">
      <c r="A228" s="25" t="s">
        <v>101</v>
      </c>
      <c r="B228" s="15" t="s">
        <v>79</v>
      </c>
      <c r="C228" s="15">
        <v>3</v>
      </c>
      <c r="D228" s="171">
        <f t="shared" si="18"/>
        <v>1.2987012987012988E-2</v>
      </c>
    </row>
    <row r="229" spans="1:8" x14ac:dyDescent="0.3">
      <c r="A229" s="25" t="s">
        <v>102</v>
      </c>
      <c r="B229" s="15" t="s">
        <v>79</v>
      </c>
      <c r="C229" s="15">
        <v>4</v>
      </c>
      <c r="D229" s="171">
        <f t="shared" si="18"/>
        <v>1.7316017316017316E-2</v>
      </c>
    </row>
    <row r="230" spans="1:8" x14ac:dyDescent="0.3">
      <c r="A230" s="25" t="s">
        <v>103</v>
      </c>
      <c r="B230" s="15" t="s">
        <v>79</v>
      </c>
      <c r="C230" s="15">
        <v>2</v>
      </c>
      <c r="D230" s="171">
        <f t="shared" si="18"/>
        <v>8.658008658008658E-3</v>
      </c>
    </row>
    <row r="231" spans="1:8" x14ac:dyDescent="0.3">
      <c r="A231" s="25" t="s">
        <v>138</v>
      </c>
      <c r="B231" s="15" t="s">
        <v>81</v>
      </c>
      <c r="C231" s="15">
        <v>4</v>
      </c>
      <c r="D231" s="171">
        <f t="shared" si="18"/>
        <v>1.7316017316017316E-2</v>
      </c>
    </row>
    <row r="232" spans="1:8" x14ac:dyDescent="0.3">
      <c r="A232" s="25" t="s">
        <v>106</v>
      </c>
      <c r="B232" s="15" t="s">
        <v>81</v>
      </c>
      <c r="C232" s="15">
        <v>1</v>
      </c>
      <c r="D232" s="171">
        <f t="shared" si="18"/>
        <v>4.329004329004329E-3</v>
      </c>
    </row>
    <row r="233" spans="1:8" x14ac:dyDescent="0.3">
      <c r="A233" s="25" t="s">
        <v>107</v>
      </c>
      <c r="B233" s="15" t="s">
        <v>81</v>
      </c>
      <c r="C233" s="15">
        <v>35</v>
      </c>
      <c r="D233" s="171">
        <f t="shared" si="18"/>
        <v>0.15151515151515152</v>
      </c>
    </row>
    <row r="234" spans="1:8" x14ac:dyDescent="0.3">
      <c r="A234" s="25" t="s">
        <v>108</v>
      </c>
      <c r="B234" s="15" t="s">
        <v>81</v>
      </c>
      <c r="C234" s="15">
        <v>6</v>
      </c>
      <c r="D234" s="171">
        <f t="shared" si="18"/>
        <v>2.5974025974025976E-2</v>
      </c>
    </row>
    <row r="235" spans="1:8" ht="14.5" thickBot="1" x14ac:dyDescent="0.35">
      <c r="A235" s="34" t="s">
        <v>130</v>
      </c>
      <c r="B235" s="24" t="s">
        <v>125</v>
      </c>
      <c r="C235" s="24">
        <v>4</v>
      </c>
      <c r="D235" s="169" t="s">
        <v>111</v>
      </c>
    </row>
    <row r="236" spans="1:8" x14ac:dyDescent="0.3">
      <c r="A236" s="104"/>
    </row>
    <row r="237" spans="1:8" x14ac:dyDescent="0.3">
      <c r="A237" s="104"/>
    </row>
    <row r="238" spans="1:8" ht="14.5" thickBot="1" x14ac:dyDescent="0.35">
      <c r="A238" s="104"/>
    </row>
    <row r="239" spans="1:8" x14ac:dyDescent="0.3">
      <c r="A239" s="8" t="s">
        <v>131</v>
      </c>
      <c r="B239" s="9" t="s">
        <v>68</v>
      </c>
      <c r="C239" s="9" t="s">
        <v>49</v>
      </c>
      <c r="D239" s="58" t="s">
        <v>50</v>
      </c>
      <c r="F239" s="8" t="s">
        <v>132</v>
      </c>
      <c r="G239" s="9" t="s">
        <v>114</v>
      </c>
      <c r="H239" s="58" t="s">
        <v>50</v>
      </c>
    </row>
    <row r="240" spans="1:8" x14ac:dyDescent="0.3">
      <c r="A240" s="25" t="s">
        <v>71</v>
      </c>
      <c r="B240" s="15" t="s">
        <v>72</v>
      </c>
      <c r="C240" s="15">
        <v>6</v>
      </c>
      <c r="D240" s="171">
        <f>C240/31</f>
        <v>0.19354838709677419</v>
      </c>
      <c r="F240" s="25" t="s">
        <v>72</v>
      </c>
      <c r="G240" s="15">
        <v>11</v>
      </c>
      <c r="H240" s="171">
        <f t="shared" ref="H240:H245" si="19">G240/31</f>
        <v>0.35483870967741937</v>
      </c>
    </row>
    <row r="241" spans="1:9" x14ac:dyDescent="0.3">
      <c r="A241" s="25" t="s">
        <v>73</v>
      </c>
      <c r="B241" s="15" t="s">
        <v>72</v>
      </c>
      <c r="C241" s="15">
        <v>1</v>
      </c>
      <c r="D241" s="171">
        <f t="shared" ref="D241:D255" si="20">C241/31</f>
        <v>3.2258064516129031E-2</v>
      </c>
      <c r="F241" s="25" t="s">
        <v>74</v>
      </c>
      <c r="G241" s="15">
        <v>1</v>
      </c>
      <c r="H241" s="171">
        <f t="shared" si="19"/>
        <v>3.2258064516129031E-2</v>
      </c>
    </row>
    <row r="242" spans="1:9" x14ac:dyDescent="0.3">
      <c r="A242" s="25" t="s">
        <v>75</v>
      </c>
      <c r="B242" s="15" t="s">
        <v>72</v>
      </c>
      <c r="C242" s="15">
        <v>3</v>
      </c>
      <c r="D242" s="171">
        <f t="shared" si="20"/>
        <v>9.6774193548387094E-2</v>
      </c>
      <c r="E242" s="1"/>
      <c r="F242" s="25" t="s">
        <v>76</v>
      </c>
      <c r="G242" s="15">
        <v>4</v>
      </c>
      <c r="H242" s="171">
        <f t="shared" si="19"/>
        <v>0.12903225806451613</v>
      </c>
    </row>
    <row r="243" spans="1:9" x14ac:dyDescent="0.3">
      <c r="A243" s="25" t="s">
        <v>77</v>
      </c>
      <c r="B243" s="15" t="s">
        <v>72</v>
      </c>
      <c r="C243" s="15">
        <v>1</v>
      </c>
      <c r="D243" s="171">
        <f t="shared" si="20"/>
        <v>3.2258064516129031E-2</v>
      </c>
      <c r="E243" s="45"/>
      <c r="F243" s="25" t="s">
        <v>78</v>
      </c>
      <c r="G243" s="15">
        <v>5</v>
      </c>
      <c r="H243" s="171">
        <f t="shared" si="19"/>
        <v>0.16129032258064516</v>
      </c>
    </row>
    <row r="244" spans="1:9" x14ac:dyDescent="0.3">
      <c r="A244" s="25" t="s">
        <v>74</v>
      </c>
      <c r="B244" s="15" t="s">
        <v>74</v>
      </c>
      <c r="C244" s="15">
        <v>1</v>
      </c>
      <c r="D244" s="171">
        <f t="shared" si="20"/>
        <v>3.2258064516129031E-2</v>
      </c>
      <c r="E244" s="45"/>
      <c r="F244" s="25" t="s">
        <v>79</v>
      </c>
      <c r="G244" s="15">
        <v>4</v>
      </c>
      <c r="H244" s="171">
        <f t="shared" si="19"/>
        <v>0.12903225806451613</v>
      </c>
    </row>
    <row r="245" spans="1:9" ht="14.5" thickBot="1" x14ac:dyDescent="0.35">
      <c r="A245" s="25" t="s">
        <v>115</v>
      </c>
      <c r="B245" s="15" t="s">
        <v>76</v>
      </c>
      <c r="C245" s="15">
        <v>1</v>
      </c>
      <c r="D245" s="171">
        <f t="shared" si="20"/>
        <v>3.2258064516129031E-2</v>
      </c>
      <c r="E245" s="45"/>
      <c r="F245" s="34" t="s">
        <v>81</v>
      </c>
      <c r="G245" s="24">
        <v>6</v>
      </c>
      <c r="H245" s="228">
        <f t="shared" si="19"/>
        <v>0.19354838709677419</v>
      </c>
    </row>
    <row r="246" spans="1:9" x14ac:dyDescent="0.3">
      <c r="A246" s="25" t="s">
        <v>90</v>
      </c>
      <c r="B246" s="15" t="s">
        <v>76</v>
      </c>
      <c r="C246" s="15">
        <v>2</v>
      </c>
      <c r="D246" s="171">
        <f t="shared" si="20"/>
        <v>6.4516129032258063E-2</v>
      </c>
      <c r="E246" s="45"/>
      <c r="F246" s="172"/>
      <c r="G246" s="45"/>
      <c r="H246" s="170"/>
    </row>
    <row r="247" spans="1:9" x14ac:dyDescent="0.3">
      <c r="A247" s="25" t="s">
        <v>92</v>
      </c>
      <c r="B247" s="15" t="s">
        <v>76</v>
      </c>
      <c r="C247" s="15">
        <v>0</v>
      </c>
      <c r="D247" s="171">
        <f t="shared" si="20"/>
        <v>0</v>
      </c>
      <c r="E247" s="45"/>
      <c r="F247" s="45"/>
      <c r="G247" s="45"/>
      <c r="H247" s="45"/>
    </row>
    <row r="248" spans="1:9" x14ac:dyDescent="0.3">
      <c r="A248" s="25" t="s">
        <v>93</v>
      </c>
      <c r="B248" s="15" t="s">
        <v>76</v>
      </c>
      <c r="C248" s="15">
        <v>1</v>
      </c>
      <c r="D248" s="171">
        <f t="shared" si="20"/>
        <v>3.2258064516129031E-2</v>
      </c>
      <c r="E248" s="45"/>
      <c r="I248" s="45"/>
    </row>
    <row r="249" spans="1:9" x14ac:dyDescent="0.3">
      <c r="A249" s="25" t="s">
        <v>95</v>
      </c>
      <c r="B249" s="15" t="s">
        <v>78</v>
      </c>
      <c r="C249" s="15">
        <v>1</v>
      </c>
      <c r="D249" s="171">
        <f t="shared" si="20"/>
        <v>3.2258064516129031E-2</v>
      </c>
      <c r="E249" s="45"/>
      <c r="I249" s="45"/>
    </row>
    <row r="250" spans="1:9" x14ac:dyDescent="0.3">
      <c r="A250" s="25" t="s">
        <v>96</v>
      </c>
      <c r="B250" s="15" t="s">
        <v>78</v>
      </c>
      <c r="C250" s="15">
        <v>4</v>
      </c>
      <c r="D250" s="171">
        <f t="shared" si="20"/>
        <v>0.12903225806451613</v>
      </c>
    </row>
    <row r="251" spans="1:9" x14ac:dyDescent="0.3">
      <c r="A251" s="25" t="s">
        <v>97</v>
      </c>
      <c r="B251" s="15" t="s">
        <v>79</v>
      </c>
      <c r="C251" s="15">
        <v>1</v>
      </c>
      <c r="D251" s="171">
        <f t="shared" si="20"/>
        <v>3.2258064516129031E-2</v>
      </c>
    </row>
    <row r="252" spans="1:9" x14ac:dyDescent="0.3">
      <c r="A252" s="25" t="s">
        <v>100</v>
      </c>
      <c r="B252" s="15" t="s">
        <v>79</v>
      </c>
      <c r="C252" s="15">
        <v>1</v>
      </c>
      <c r="D252" s="171">
        <f t="shared" si="20"/>
        <v>3.2258064516129031E-2</v>
      </c>
    </row>
    <row r="253" spans="1:9" x14ac:dyDescent="0.3">
      <c r="A253" s="25" t="s">
        <v>101</v>
      </c>
      <c r="B253" s="15" t="s">
        <v>79</v>
      </c>
      <c r="C253" s="15">
        <v>1</v>
      </c>
      <c r="D253" s="171">
        <f t="shared" si="20"/>
        <v>3.2258064516129031E-2</v>
      </c>
    </row>
    <row r="254" spans="1:9" x14ac:dyDescent="0.3">
      <c r="A254" s="25" t="s">
        <v>103</v>
      </c>
      <c r="B254" s="15" t="s">
        <v>79</v>
      </c>
      <c r="C254" s="15">
        <v>1</v>
      </c>
      <c r="D254" s="171">
        <f t="shared" si="20"/>
        <v>3.2258064516129031E-2</v>
      </c>
    </row>
    <row r="255" spans="1:9" ht="14.5" thickBot="1" x14ac:dyDescent="0.35">
      <c r="A255" s="34" t="s">
        <v>107</v>
      </c>
      <c r="B255" s="24" t="s">
        <v>81</v>
      </c>
      <c r="C255" s="24">
        <v>6</v>
      </c>
      <c r="D255" s="228">
        <f t="shared" si="20"/>
        <v>0.19354838709677419</v>
      </c>
    </row>
  </sheetData>
  <sheetProtection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00B0F0"/>
  </sheetPr>
  <dimension ref="A1:H240"/>
  <sheetViews>
    <sheetView showGridLines="0" zoomScale="75" zoomScaleNormal="75" workbookViewId="0">
      <selection activeCell="B15" sqref="B15"/>
    </sheetView>
  </sheetViews>
  <sheetFormatPr defaultColWidth="9" defaultRowHeight="14" x14ac:dyDescent="0.3"/>
  <cols>
    <col min="1" max="1" width="88.54296875" style="13" bestFit="1" customWidth="1"/>
    <col min="2" max="2" width="23" style="13" customWidth="1"/>
    <col min="3" max="5" width="16.54296875" style="13" customWidth="1"/>
    <col min="6" max="6" width="75.1796875" style="13" customWidth="1"/>
    <col min="7" max="7" width="9.1796875" style="13" bestFit="1" customWidth="1"/>
    <col min="8" max="8" width="14" style="13" bestFit="1" customWidth="1"/>
    <col min="9" max="16384" width="9" style="13"/>
  </cols>
  <sheetData>
    <row r="1" spans="1:5" x14ac:dyDescent="0.3">
      <c r="A1" s="3" t="s">
        <v>150</v>
      </c>
      <c r="B1" s="4" t="s">
        <v>1</v>
      </c>
      <c r="C1" s="4" t="s">
        <v>2</v>
      </c>
      <c r="D1" s="4" t="s">
        <v>3</v>
      </c>
      <c r="E1" s="5" t="s">
        <v>4</v>
      </c>
    </row>
    <row r="2" spans="1:5" x14ac:dyDescent="0.3">
      <c r="A2" s="28" t="s">
        <v>5</v>
      </c>
      <c r="B2" s="29">
        <v>2</v>
      </c>
      <c r="C2" s="29">
        <v>2</v>
      </c>
      <c r="D2" s="29">
        <v>2</v>
      </c>
      <c r="E2" s="30">
        <v>2</v>
      </c>
    </row>
    <row r="3" spans="1:5" x14ac:dyDescent="0.3">
      <c r="A3" s="28" t="s">
        <v>6</v>
      </c>
      <c r="B3" s="29">
        <v>2</v>
      </c>
      <c r="C3" s="29">
        <v>2</v>
      </c>
      <c r="D3" s="29">
        <v>2</v>
      </c>
      <c r="E3" s="30">
        <v>2</v>
      </c>
    </row>
    <row r="4" spans="1:5" x14ac:dyDescent="0.3">
      <c r="A4" s="28" t="s">
        <v>7</v>
      </c>
      <c r="B4" s="29">
        <v>2</v>
      </c>
      <c r="C4" s="29">
        <v>2</v>
      </c>
      <c r="D4" s="29">
        <v>2</v>
      </c>
      <c r="E4" s="30">
        <v>2</v>
      </c>
    </row>
    <row r="5" spans="1:5" x14ac:dyDescent="0.3">
      <c r="A5" s="28" t="s">
        <v>8</v>
      </c>
      <c r="B5" s="29">
        <v>1</v>
      </c>
      <c r="C5" s="29">
        <v>2</v>
      </c>
      <c r="D5" s="29">
        <v>2</v>
      </c>
      <c r="E5" s="30">
        <v>2</v>
      </c>
    </row>
    <row r="6" spans="1:5" x14ac:dyDescent="0.3">
      <c r="A6" s="31" t="s">
        <v>9</v>
      </c>
      <c r="B6" s="32">
        <v>1</v>
      </c>
      <c r="C6" s="32">
        <v>1</v>
      </c>
      <c r="D6" s="32">
        <v>1</v>
      </c>
      <c r="E6" s="33">
        <v>1</v>
      </c>
    </row>
    <row r="9" spans="1:5" ht="14.5" thickBot="1" x14ac:dyDescent="0.35"/>
    <row r="10" spans="1:5" x14ac:dyDescent="0.3">
      <c r="A10" s="8" t="s">
        <v>135</v>
      </c>
      <c r="B10" s="9" t="s">
        <v>1</v>
      </c>
      <c r="C10" s="9" t="s">
        <v>2</v>
      </c>
      <c r="D10" s="9" t="s">
        <v>3</v>
      </c>
      <c r="E10" s="58" t="s">
        <v>4</v>
      </c>
    </row>
    <row r="11" spans="1:5" x14ac:dyDescent="0.3">
      <c r="A11" s="10" t="s">
        <v>11</v>
      </c>
      <c r="B11" s="15">
        <v>63</v>
      </c>
      <c r="C11" s="15">
        <v>66</v>
      </c>
      <c r="D11" s="15">
        <v>78</v>
      </c>
      <c r="E11" s="69">
        <v>79</v>
      </c>
    </row>
    <row r="12" spans="1:5" x14ac:dyDescent="0.3">
      <c r="A12" s="10" t="s">
        <v>12</v>
      </c>
      <c r="B12" s="35">
        <v>100</v>
      </c>
      <c r="C12" s="15">
        <v>110</v>
      </c>
      <c r="D12" s="15">
        <v>138</v>
      </c>
      <c r="E12" s="69">
        <v>138</v>
      </c>
    </row>
    <row r="13" spans="1:5" x14ac:dyDescent="0.3">
      <c r="A13" s="10" t="s">
        <v>13</v>
      </c>
      <c r="B13" s="23">
        <v>17934.05</v>
      </c>
      <c r="C13" s="23">
        <v>19078.23</v>
      </c>
      <c r="D13" s="23">
        <v>21896.86</v>
      </c>
      <c r="E13" s="68">
        <v>21487.05</v>
      </c>
    </row>
    <row r="14" spans="1:5" x14ac:dyDescent="0.3">
      <c r="A14" s="10" t="s">
        <v>14</v>
      </c>
      <c r="B14" s="23">
        <f>B13*52/B11</f>
        <v>14802.707936507935</v>
      </c>
      <c r="C14" s="23">
        <f t="shared" ref="C14:D14" si="0">C13*52/C11</f>
        <v>15031.332727272727</v>
      </c>
      <c r="D14" s="23">
        <f t="shared" si="0"/>
        <v>14597.906666666666</v>
      </c>
      <c r="E14" s="68">
        <f>E13*52/E11</f>
        <v>14143.374683544302</v>
      </c>
    </row>
    <row r="15" spans="1:5" x14ac:dyDescent="0.3">
      <c r="A15" s="10" t="s">
        <v>15</v>
      </c>
      <c r="B15" s="23">
        <f>B13*52</f>
        <v>932570.6</v>
      </c>
      <c r="C15" s="23">
        <f t="shared" ref="C15:D15" si="1">C13*52</f>
        <v>992067.96</v>
      </c>
      <c r="D15" s="23">
        <f t="shared" si="1"/>
        <v>1138636.72</v>
      </c>
      <c r="E15" s="68">
        <f>E13*52</f>
        <v>1117326.5999999999</v>
      </c>
    </row>
    <row r="16" spans="1:5" ht="14.5" thickBot="1" x14ac:dyDescent="0.35">
      <c r="A16" s="114" t="s">
        <v>16</v>
      </c>
      <c r="B16" s="156">
        <v>618</v>
      </c>
      <c r="C16" s="81">
        <v>609</v>
      </c>
      <c r="D16" s="24">
        <v>561</v>
      </c>
      <c r="E16" s="70">
        <v>611</v>
      </c>
    </row>
    <row r="17" spans="1:6" x14ac:dyDescent="0.3">
      <c r="A17" s="112" t="s">
        <v>17</v>
      </c>
      <c r="B17" s="102">
        <v>38</v>
      </c>
      <c r="C17" s="151">
        <v>38</v>
      </c>
      <c r="D17" s="46">
        <v>46</v>
      </c>
      <c r="E17" s="113">
        <v>42</v>
      </c>
      <c r="F17" s="51"/>
    </row>
    <row r="18" spans="1:6" x14ac:dyDescent="0.3">
      <c r="A18" s="25" t="s">
        <v>18</v>
      </c>
      <c r="B18" s="27">
        <v>8</v>
      </c>
      <c r="C18" s="36">
        <v>9</v>
      </c>
      <c r="D18" s="15">
        <v>11</v>
      </c>
      <c r="E18" s="69">
        <v>13</v>
      </c>
      <c r="F18" s="93"/>
    </row>
    <row r="19" spans="1:6" x14ac:dyDescent="0.3">
      <c r="A19" s="78" t="s">
        <v>19</v>
      </c>
      <c r="B19" s="122">
        <f>B18/B17</f>
        <v>0.21052631578947367</v>
      </c>
      <c r="C19" s="122">
        <f>C18/C17</f>
        <v>0.23684210526315788</v>
      </c>
      <c r="D19" s="122">
        <f>D18/D17</f>
        <v>0.2391304347826087</v>
      </c>
      <c r="E19" s="185">
        <f>E18/E17</f>
        <v>0.30952380952380953</v>
      </c>
      <c r="F19" s="93"/>
    </row>
    <row r="20" spans="1:6" ht="14.5" thickBot="1" x14ac:dyDescent="0.35">
      <c r="A20" s="34" t="s">
        <v>20</v>
      </c>
      <c r="B20" s="156">
        <v>11</v>
      </c>
      <c r="C20" s="81">
        <v>8</v>
      </c>
      <c r="D20" s="24">
        <v>11</v>
      </c>
      <c r="E20" s="70">
        <v>12</v>
      </c>
      <c r="F20" s="51"/>
    </row>
    <row r="21" spans="1:6" x14ac:dyDescent="0.3">
      <c r="A21" s="112" t="s">
        <v>21</v>
      </c>
      <c r="B21" s="102">
        <v>9</v>
      </c>
      <c r="C21" s="151">
        <v>16</v>
      </c>
      <c r="D21" s="46">
        <v>20</v>
      </c>
      <c r="E21" s="113">
        <v>20</v>
      </c>
      <c r="F21" s="51"/>
    </row>
    <row r="22" spans="1:6" x14ac:dyDescent="0.3">
      <c r="A22" s="25" t="s">
        <v>136</v>
      </c>
      <c r="B22" s="27">
        <v>6</v>
      </c>
      <c r="C22" s="36">
        <v>10</v>
      </c>
      <c r="D22" s="15">
        <v>14</v>
      </c>
      <c r="E22" s="69">
        <v>12</v>
      </c>
      <c r="F22" s="93"/>
    </row>
    <row r="23" spans="1:6" x14ac:dyDescent="0.3">
      <c r="A23" s="25" t="s">
        <v>23</v>
      </c>
      <c r="B23" s="27">
        <v>0</v>
      </c>
      <c r="C23" s="36">
        <v>1</v>
      </c>
      <c r="D23" s="15">
        <v>1</v>
      </c>
      <c r="E23" s="69">
        <v>1</v>
      </c>
      <c r="F23" s="51"/>
    </row>
    <row r="24" spans="1:6" x14ac:dyDescent="0.3">
      <c r="A24" s="25" t="s">
        <v>24</v>
      </c>
      <c r="B24" s="15">
        <v>2</v>
      </c>
      <c r="C24" s="15">
        <v>1</v>
      </c>
      <c r="D24" s="15">
        <v>0</v>
      </c>
      <c r="E24" s="69">
        <v>1</v>
      </c>
      <c r="F24" s="51"/>
    </row>
    <row r="25" spans="1:6" ht="14.5" thickBot="1" x14ac:dyDescent="0.35">
      <c r="A25" s="34" t="s">
        <v>25</v>
      </c>
      <c r="B25" s="143">
        <f>(B24+B23+B21)/(B11-B26)</f>
        <v>0.18333333333333332</v>
      </c>
      <c r="C25" s="143">
        <f t="shared" ref="C25:E25" si="2">(C24+C23+C21)/(C11-C26)</f>
        <v>0.28125</v>
      </c>
      <c r="D25" s="143">
        <f>(D24+D23+D21)/(D11-D26)</f>
        <v>0.26923076923076922</v>
      </c>
      <c r="E25" s="184">
        <f t="shared" si="2"/>
        <v>0.28947368421052633</v>
      </c>
      <c r="F25" s="51"/>
    </row>
    <row r="26" spans="1:6" ht="14.5" thickBot="1" x14ac:dyDescent="0.35">
      <c r="A26" s="115" t="s">
        <v>26</v>
      </c>
      <c r="B26" s="24">
        <v>3</v>
      </c>
      <c r="C26" s="24">
        <v>2</v>
      </c>
      <c r="D26" s="24">
        <v>0</v>
      </c>
      <c r="E26" s="70">
        <v>3</v>
      </c>
      <c r="F26" s="51"/>
    </row>
    <row r="27" spans="1:6" x14ac:dyDescent="0.3">
      <c r="A27" s="112" t="s">
        <v>27</v>
      </c>
      <c r="B27" s="46">
        <v>25</v>
      </c>
      <c r="C27" s="46">
        <v>33</v>
      </c>
      <c r="D27" s="46">
        <v>28</v>
      </c>
      <c r="E27" s="113">
        <v>32</v>
      </c>
    </row>
    <row r="28" spans="1:6" x14ac:dyDescent="0.3">
      <c r="A28" s="25" t="s">
        <v>28</v>
      </c>
      <c r="B28" s="15">
        <v>9</v>
      </c>
      <c r="C28" s="15">
        <v>16</v>
      </c>
      <c r="D28" s="15">
        <v>18</v>
      </c>
      <c r="E28" s="69">
        <v>12</v>
      </c>
    </row>
    <row r="29" spans="1:6" ht="14.5" thickBot="1" x14ac:dyDescent="0.35">
      <c r="A29" s="34" t="s">
        <v>29</v>
      </c>
      <c r="B29" s="24">
        <v>9</v>
      </c>
      <c r="C29" s="24">
        <v>13</v>
      </c>
      <c r="D29" s="24">
        <v>6</v>
      </c>
      <c r="E29" s="70">
        <v>11</v>
      </c>
    </row>
    <row r="30" spans="1:6" x14ac:dyDescent="0.3">
      <c r="A30" s="16"/>
      <c r="B30" s="37"/>
      <c r="C30" s="37"/>
      <c r="D30" s="37"/>
    </row>
    <row r="31" spans="1:6" x14ac:dyDescent="0.3">
      <c r="A31" s="16"/>
    </row>
    <row r="32" spans="1:6" ht="14.5" thickBot="1" x14ac:dyDescent="0.35"/>
    <row r="33" spans="1:6" x14ac:dyDescent="0.3">
      <c r="A33" s="8" t="s">
        <v>30</v>
      </c>
      <c r="B33" s="9" t="s">
        <v>1</v>
      </c>
      <c r="C33" s="9" t="s">
        <v>2</v>
      </c>
      <c r="D33" s="9" t="s">
        <v>3</v>
      </c>
      <c r="E33" s="58" t="s">
        <v>4</v>
      </c>
    </row>
    <row r="34" spans="1:6" x14ac:dyDescent="0.3">
      <c r="A34" s="25" t="s">
        <v>11</v>
      </c>
      <c r="B34" s="15">
        <v>22</v>
      </c>
      <c r="C34" s="36">
        <v>18</v>
      </c>
      <c r="D34" s="15">
        <v>18</v>
      </c>
      <c r="E34" s="69">
        <v>22</v>
      </c>
    </row>
    <row r="35" spans="1:6" x14ac:dyDescent="0.3">
      <c r="A35" s="25" t="s">
        <v>13</v>
      </c>
      <c r="B35" s="23">
        <v>6485.78</v>
      </c>
      <c r="C35" s="110">
        <v>6001.74</v>
      </c>
      <c r="D35" s="23">
        <v>5788.82</v>
      </c>
      <c r="E35" s="68">
        <v>6984.42</v>
      </c>
    </row>
    <row r="36" spans="1:6" x14ac:dyDescent="0.3">
      <c r="A36" s="25" t="s">
        <v>14</v>
      </c>
      <c r="B36" s="23">
        <f>B35*52/B34</f>
        <v>15330.025454545454</v>
      </c>
      <c r="C36" s="110">
        <f t="shared" ref="C36:D36" si="3">C35*52/C34</f>
        <v>17338.36</v>
      </c>
      <c r="D36" s="23">
        <f t="shared" si="3"/>
        <v>16723.257777777777</v>
      </c>
      <c r="E36" s="68">
        <f>E35*52/E34</f>
        <v>16508.629090909093</v>
      </c>
    </row>
    <row r="37" spans="1:6" x14ac:dyDescent="0.3">
      <c r="A37" s="25" t="s">
        <v>15</v>
      </c>
      <c r="B37" s="23">
        <f>B35*52</f>
        <v>337260.56</v>
      </c>
      <c r="C37" s="110">
        <f t="shared" ref="C37:D37" si="4">C35*52</f>
        <v>312090.48</v>
      </c>
      <c r="D37" s="23">
        <f t="shared" si="4"/>
        <v>301018.64</v>
      </c>
      <c r="E37" s="68">
        <f>E35*52</f>
        <v>363189.84</v>
      </c>
    </row>
    <row r="38" spans="1:6" ht="14.5" thickBot="1" x14ac:dyDescent="0.35">
      <c r="A38" s="34" t="s">
        <v>16</v>
      </c>
      <c r="B38" s="24">
        <v>751</v>
      </c>
      <c r="C38" s="81">
        <v>840</v>
      </c>
      <c r="D38" s="24">
        <v>816</v>
      </c>
      <c r="E38" s="70">
        <v>746</v>
      </c>
    </row>
    <row r="39" spans="1:6" x14ac:dyDescent="0.3">
      <c r="A39" s="112" t="s">
        <v>31</v>
      </c>
      <c r="B39" s="46">
        <v>15</v>
      </c>
      <c r="C39" s="151">
        <v>14</v>
      </c>
      <c r="D39" s="46">
        <v>14</v>
      </c>
      <c r="E39" s="113">
        <v>14</v>
      </c>
      <c r="F39" s="51"/>
    </row>
    <row r="40" spans="1:6" x14ac:dyDescent="0.3">
      <c r="A40" s="25" t="s">
        <v>32</v>
      </c>
      <c r="B40" s="15">
        <v>4</v>
      </c>
      <c r="C40" s="36">
        <v>4</v>
      </c>
      <c r="D40" s="15">
        <v>3</v>
      </c>
      <c r="E40" s="69">
        <v>2</v>
      </c>
      <c r="F40" s="93"/>
    </row>
    <row r="41" spans="1:6" x14ac:dyDescent="0.3">
      <c r="A41" s="78" t="s">
        <v>19</v>
      </c>
      <c r="B41" s="122">
        <f>B40/B39</f>
        <v>0.26666666666666666</v>
      </c>
      <c r="C41" s="122">
        <f t="shared" ref="C41:E41" si="5">C40/C39</f>
        <v>0.2857142857142857</v>
      </c>
      <c r="D41" s="122">
        <f t="shared" si="5"/>
        <v>0.21428571428571427</v>
      </c>
      <c r="E41" s="185">
        <f t="shared" si="5"/>
        <v>0.14285714285714285</v>
      </c>
      <c r="F41" s="93"/>
    </row>
    <row r="42" spans="1:6" ht="14.5" thickBot="1" x14ac:dyDescent="0.35">
      <c r="A42" s="34" t="s">
        <v>33</v>
      </c>
      <c r="B42" s="24">
        <v>2</v>
      </c>
      <c r="C42" s="81">
        <v>1</v>
      </c>
      <c r="D42" s="24">
        <v>1</v>
      </c>
      <c r="E42" s="70">
        <v>2</v>
      </c>
      <c r="F42" s="51"/>
    </row>
    <row r="43" spans="1:6" x14ac:dyDescent="0.3">
      <c r="A43" s="112" t="s">
        <v>34</v>
      </c>
      <c r="B43" s="46">
        <v>4</v>
      </c>
      <c r="C43" s="151">
        <v>3</v>
      </c>
      <c r="D43" s="46">
        <v>3</v>
      </c>
      <c r="E43" s="113">
        <v>4</v>
      </c>
      <c r="F43" s="51"/>
    </row>
    <row r="44" spans="1:6" x14ac:dyDescent="0.3">
      <c r="A44" s="25" t="s">
        <v>35</v>
      </c>
      <c r="B44" s="15">
        <v>1</v>
      </c>
      <c r="C44" s="15">
        <v>0</v>
      </c>
      <c r="D44" s="15">
        <v>0</v>
      </c>
      <c r="E44" s="69">
        <v>0</v>
      </c>
      <c r="F44" s="93"/>
    </row>
    <row r="45" spans="1:6" x14ac:dyDescent="0.3">
      <c r="A45" s="25" t="s">
        <v>36</v>
      </c>
      <c r="B45" s="15">
        <v>0</v>
      </c>
      <c r="C45" s="15">
        <v>0</v>
      </c>
      <c r="D45" s="15">
        <v>0</v>
      </c>
      <c r="E45" s="69">
        <v>1</v>
      </c>
      <c r="F45" s="51"/>
    </row>
    <row r="46" spans="1:6" x14ac:dyDescent="0.3">
      <c r="A46" s="25" t="s">
        <v>37</v>
      </c>
      <c r="B46" s="15">
        <v>0</v>
      </c>
      <c r="C46" s="15">
        <v>0</v>
      </c>
      <c r="D46" s="15">
        <v>0</v>
      </c>
      <c r="E46" s="69">
        <v>0</v>
      </c>
      <c r="F46" s="51"/>
    </row>
    <row r="47" spans="1:6" ht="14.5" thickBot="1" x14ac:dyDescent="0.35">
      <c r="A47" s="34" t="s">
        <v>25</v>
      </c>
      <c r="B47" s="143">
        <f>(B46+B45+B43)/(B34-B48)</f>
        <v>0.19047619047619047</v>
      </c>
      <c r="C47" s="143">
        <f t="shared" ref="C47:E47" si="6">(C46+C45+C43)/(C34-C48)</f>
        <v>0.16666666666666666</v>
      </c>
      <c r="D47" s="143">
        <f t="shared" si="6"/>
        <v>0.16666666666666666</v>
      </c>
      <c r="E47" s="184">
        <f t="shared" si="6"/>
        <v>0.23809523809523808</v>
      </c>
      <c r="F47" s="51"/>
    </row>
    <row r="48" spans="1:6" ht="14.5" thickBot="1" x14ac:dyDescent="0.35">
      <c r="A48" s="115" t="s">
        <v>26</v>
      </c>
      <c r="B48" s="24">
        <v>1</v>
      </c>
      <c r="C48" s="24">
        <v>0</v>
      </c>
      <c r="D48" s="24">
        <v>0</v>
      </c>
      <c r="E48" s="70">
        <v>1</v>
      </c>
      <c r="F48" s="51"/>
    </row>
    <row r="49" spans="1:8" x14ac:dyDescent="0.3">
      <c r="A49" s="112" t="s">
        <v>27</v>
      </c>
      <c r="B49" s="46">
        <v>16</v>
      </c>
      <c r="C49" s="152">
        <v>6</v>
      </c>
      <c r="D49" s="102">
        <v>4</v>
      </c>
      <c r="E49" s="103">
        <v>10</v>
      </c>
    </row>
    <row r="50" spans="1:8" x14ac:dyDescent="0.3">
      <c r="A50" s="25" t="s">
        <v>28</v>
      </c>
      <c r="B50" s="15">
        <v>4</v>
      </c>
      <c r="C50" s="105">
        <v>2</v>
      </c>
      <c r="D50" s="27">
        <v>2</v>
      </c>
      <c r="E50" s="82">
        <v>4</v>
      </c>
    </row>
    <row r="51" spans="1:8" ht="14.5" thickBot="1" x14ac:dyDescent="0.35">
      <c r="A51" s="34" t="s">
        <v>29</v>
      </c>
      <c r="B51" s="91">
        <v>1</v>
      </c>
      <c r="C51" s="40">
        <v>6</v>
      </c>
      <c r="D51" s="40">
        <v>2</v>
      </c>
      <c r="E51" s="83">
        <v>0</v>
      </c>
    </row>
    <row r="52" spans="1:8" x14ac:dyDescent="0.3">
      <c r="A52" s="16"/>
    </row>
    <row r="53" spans="1:8" x14ac:dyDescent="0.3">
      <c r="A53" s="16"/>
    </row>
    <row r="54" spans="1:8" ht="14.5" thickBot="1" x14ac:dyDescent="0.35"/>
    <row r="55" spans="1:8" x14ac:dyDescent="0.3">
      <c r="A55" s="8" t="s">
        <v>137</v>
      </c>
      <c r="B55" s="9" t="s">
        <v>1</v>
      </c>
      <c r="C55" s="9" t="s">
        <v>2</v>
      </c>
      <c r="D55" s="9" t="s">
        <v>3</v>
      </c>
      <c r="E55" s="58" t="s">
        <v>4</v>
      </c>
    </row>
    <row r="56" spans="1:8" x14ac:dyDescent="0.3">
      <c r="A56" s="25" t="s">
        <v>39</v>
      </c>
      <c r="B56" s="15">
        <v>115</v>
      </c>
      <c r="C56" s="15">
        <v>114</v>
      </c>
      <c r="D56" s="15">
        <v>128</v>
      </c>
      <c r="E56" s="69">
        <v>143</v>
      </c>
    </row>
    <row r="57" spans="1:8" x14ac:dyDescent="0.3">
      <c r="A57" s="25" t="s">
        <v>40</v>
      </c>
      <c r="B57" s="15">
        <v>45</v>
      </c>
      <c r="C57" s="15">
        <v>49</v>
      </c>
      <c r="D57" s="15">
        <v>59</v>
      </c>
      <c r="E57" s="69">
        <v>69</v>
      </c>
    </row>
    <row r="58" spans="1:8" x14ac:dyDescent="0.3">
      <c r="A58" s="25" t="s">
        <v>41</v>
      </c>
      <c r="B58" s="15">
        <v>45</v>
      </c>
      <c r="C58" s="15">
        <v>42</v>
      </c>
      <c r="D58" s="15">
        <v>44</v>
      </c>
      <c r="E58" s="69">
        <v>45</v>
      </c>
    </row>
    <row r="59" spans="1:8" ht="14.5" thickBot="1" x14ac:dyDescent="0.35">
      <c r="A59" s="34" t="s">
        <v>42</v>
      </c>
      <c r="B59" s="24">
        <v>25</v>
      </c>
      <c r="C59" s="24">
        <v>23</v>
      </c>
      <c r="D59" s="24">
        <v>25</v>
      </c>
      <c r="E59" s="70">
        <v>29</v>
      </c>
    </row>
    <row r="60" spans="1:8" x14ac:dyDescent="0.3">
      <c r="A60" s="112" t="s">
        <v>43</v>
      </c>
      <c r="B60" s="46">
        <v>28</v>
      </c>
      <c r="C60" s="46">
        <v>26</v>
      </c>
      <c r="D60" s="46">
        <v>26</v>
      </c>
      <c r="E60" s="113">
        <v>25</v>
      </c>
    </row>
    <row r="61" spans="1:8" x14ac:dyDescent="0.3">
      <c r="A61" s="25" t="s">
        <v>44</v>
      </c>
      <c r="B61" s="23">
        <v>6175.09</v>
      </c>
      <c r="C61" s="23">
        <v>5794.19</v>
      </c>
      <c r="D61" s="23">
        <v>5772.13</v>
      </c>
      <c r="E61" s="68">
        <v>5696.45</v>
      </c>
    </row>
    <row r="62" spans="1:8" x14ac:dyDescent="0.3">
      <c r="A62" s="25" t="s">
        <v>14</v>
      </c>
      <c r="B62" s="23">
        <f>B61/B60*52</f>
        <v>11468.024285714286</v>
      </c>
      <c r="C62" s="23">
        <f t="shared" ref="C62:D62" si="7">C61/C60*52</f>
        <v>11588.38</v>
      </c>
      <c r="D62" s="23">
        <f t="shared" si="7"/>
        <v>11544.26</v>
      </c>
      <c r="E62" s="68">
        <f>E61/E60*52</f>
        <v>11848.616</v>
      </c>
    </row>
    <row r="63" spans="1:8" ht="14.5" thickBot="1" x14ac:dyDescent="0.35">
      <c r="A63" s="34" t="s">
        <v>15</v>
      </c>
      <c r="B63" s="120">
        <f>B61*52</f>
        <v>321104.68</v>
      </c>
      <c r="C63" s="120">
        <f t="shared" ref="C63:D63" si="8">C61*52</f>
        <v>301297.88</v>
      </c>
      <c r="D63" s="120">
        <f t="shared" si="8"/>
        <v>300150.76</v>
      </c>
      <c r="E63" s="121">
        <f>E61*52</f>
        <v>296215.39999999997</v>
      </c>
      <c r="H63" s="173"/>
    </row>
    <row r="64" spans="1:8" x14ac:dyDescent="0.3">
      <c r="A64" s="112" t="s">
        <v>45</v>
      </c>
      <c r="B64" s="46">
        <v>0</v>
      </c>
      <c r="C64" s="46">
        <v>0</v>
      </c>
      <c r="D64" s="46">
        <v>0</v>
      </c>
      <c r="E64" s="113">
        <v>0</v>
      </c>
    </row>
    <row r="65" spans="1:6" x14ac:dyDescent="0.3">
      <c r="A65" s="78" t="s">
        <v>46</v>
      </c>
      <c r="B65" s="15">
        <v>5</v>
      </c>
      <c r="C65" s="15">
        <v>10</v>
      </c>
      <c r="D65" s="15">
        <v>18</v>
      </c>
      <c r="E65" s="69">
        <v>18</v>
      </c>
    </row>
    <row r="66" spans="1:6" ht="14.5" thickBot="1" x14ac:dyDescent="0.35">
      <c r="A66" s="34" t="s">
        <v>47</v>
      </c>
      <c r="B66" s="24">
        <v>9</v>
      </c>
      <c r="C66" s="24">
        <v>8</v>
      </c>
      <c r="D66" s="24">
        <v>2</v>
      </c>
      <c r="E66" s="70">
        <v>2</v>
      </c>
    </row>
    <row r="67" spans="1:6" x14ac:dyDescent="0.3">
      <c r="A67" s="16"/>
      <c r="C67" s="17"/>
    </row>
    <row r="68" spans="1:6" x14ac:dyDescent="0.3">
      <c r="A68" s="16"/>
      <c r="C68" s="17"/>
    </row>
    <row r="69" spans="1:6" x14ac:dyDescent="0.3">
      <c r="A69" s="16"/>
      <c r="C69" s="17"/>
    </row>
    <row r="70" spans="1:6" x14ac:dyDescent="0.3">
      <c r="A70" s="16"/>
      <c r="C70" s="17"/>
    </row>
    <row r="71" spans="1:6" ht="14.5" thickBot="1" x14ac:dyDescent="0.35">
      <c r="A71" s="16"/>
      <c r="C71" s="17"/>
    </row>
    <row r="72" spans="1:6" s="1" customFormat="1" x14ac:dyDescent="0.3">
      <c r="A72" s="190" t="s">
        <v>48</v>
      </c>
      <c r="B72" s="73" t="s">
        <v>49</v>
      </c>
      <c r="C72" s="191" t="s">
        <v>50</v>
      </c>
    </row>
    <row r="73" spans="1:6" s="1" customFormat="1" x14ac:dyDescent="0.3">
      <c r="A73" s="10" t="s">
        <v>51</v>
      </c>
      <c r="B73" s="123">
        <v>2</v>
      </c>
      <c r="C73" s="171">
        <f>B73/39</f>
        <v>5.128205128205128E-2</v>
      </c>
    </row>
    <row r="74" spans="1:6" s="1" customFormat="1" x14ac:dyDescent="0.3">
      <c r="A74" s="10" t="s">
        <v>52</v>
      </c>
      <c r="B74" s="123">
        <v>0</v>
      </c>
      <c r="C74" s="171">
        <f t="shared" ref="C74:C79" si="9">B74/39</f>
        <v>0</v>
      </c>
    </row>
    <row r="75" spans="1:6" s="1" customFormat="1" x14ac:dyDescent="0.3">
      <c r="A75" s="10" t="s">
        <v>53</v>
      </c>
      <c r="B75" s="123">
        <v>0</v>
      </c>
      <c r="C75" s="171">
        <f t="shared" si="9"/>
        <v>0</v>
      </c>
    </row>
    <row r="76" spans="1:6" s="1" customFormat="1" x14ac:dyDescent="0.3">
      <c r="A76" s="10" t="s">
        <v>54</v>
      </c>
      <c r="B76" s="123">
        <v>29</v>
      </c>
      <c r="C76" s="171">
        <f t="shared" si="9"/>
        <v>0.74358974358974361</v>
      </c>
    </row>
    <row r="77" spans="1:6" s="1" customFormat="1" x14ac:dyDescent="0.3">
      <c r="A77" s="10" t="s">
        <v>55</v>
      </c>
      <c r="B77" s="123">
        <v>7</v>
      </c>
      <c r="C77" s="171">
        <f t="shared" si="9"/>
        <v>0.17948717948717949</v>
      </c>
      <c r="F77" s="84"/>
    </row>
    <row r="78" spans="1:6" s="1" customFormat="1" x14ac:dyDescent="0.3">
      <c r="A78" s="10" t="s">
        <v>56</v>
      </c>
      <c r="B78" s="123">
        <v>0</v>
      </c>
      <c r="C78" s="171">
        <f t="shared" si="9"/>
        <v>0</v>
      </c>
    </row>
    <row r="79" spans="1:6" s="1" customFormat="1" x14ac:dyDescent="0.3">
      <c r="A79" s="10" t="s">
        <v>57</v>
      </c>
      <c r="B79" s="123">
        <v>1</v>
      </c>
      <c r="C79" s="171">
        <f t="shared" si="9"/>
        <v>2.564102564102564E-2</v>
      </c>
    </row>
    <row r="80" spans="1:6" s="1" customFormat="1" ht="14.5" thickBot="1" x14ac:dyDescent="0.35">
      <c r="A80" s="192" t="s">
        <v>49</v>
      </c>
      <c r="B80" s="193">
        <f>SUM(B73:B79)</f>
        <v>39</v>
      </c>
      <c r="C80" s="194">
        <f>SUM(C73:C79)</f>
        <v>1</v>
      </c>
    </row>
    <row r="81" spans="1:4" s="1" customFormat="1" x14ac:dyDescent="0.3">
      <c r="A81" s="174"/>
      <c r="B81" s="174"/>
      <c r="C81" s="175"/>
      <c r="D81" s="174"/>
    </row>
    <row r="82" spans="1:4" s="1" customFormat="1" ht="14.5" thickBot="1" x14ac:dyDescent="0.35">
      <c r="A82" s="174"/>
      <c r="B82" s="174"/>
      <c r="C82" s="175"/>
      <c r="D82" s="174"/>
    </row>
    <row r="83" spans="1:4" s="1" customFormat="1" ht="14.25" customHeight="1" x14ac:dyDescent="0.3">
      <c r="A83" s="238" t="s">
        <v>58</v>
      </c>
      <c r="B83" s="239" t="s">
        <v>49</v>
      </c>
      <c r="C83" s="240" t="s">
        <v>50</v>
      </c>
      <c r="D83" s="80"/>
    </row>
    <row r="84" spans="1:4" s="1" customFormat="1" ht="14.25" customHeight="1" x14ac:dyDescent="0.3">
      <c r="A84" s="195" t="s">
        <v>59</v>
      </c>
      <c r="B84" s="123">
        <v>0</v>
      </c>
      <c r="C84" s="196">
        <f>B84/1</f>
        <v>0</v>
      </c>
      <c r="D84" s="80"/>
    </row>
    <row r="85" spans="1:4" s="1" customFormat="1" ht="14.25" customHeight="1" x14ac:dyDescent="0.3">
      <c r="A85" s="195" t="s">
        <v>60</v>
      </c>
      <c r="B85" s="123">
        <v>1</v>
      </c>
      <c r="C85" s="196">
        <f t="shared" ref="C85:C88" si="10">B85/1</f>
        <v>1</v>
      </c>
      <c r="D85" s="80"/>
    </row>
    <row r="86" spans="1:4" s="1" customFormat="1" ht="14.25" customHeight="1" x14ac:dyDescent="0.3">
      <c r="A86" s="195" t="s">
        <v>61</v>
      </c>
      <c r="B86" s="123">
        <v>0</v>
      </c>
      <c r="C86" s="196">
        <f t="shared" si="10"/>
        <v>0</v>
      </c>
      <c r="D86" s="80"/>
    </row>
    <row r="87" spans="1:4" s="1" customFormat="1" ht="14.25" customHeight="1" x14ac:dyDescent="0.3">
      <c r="A87" s="195" t="s">
        <v>62</v>
      </c>
      <c r="B87" s="123">
        <v>0</v>
      </c>
      <c r="C87" s="196">
        <f t="shared" si="10"/>
        <v>0</v>
      </c>
      <c r="D87" s="80"/>
    </row>
    <row r="88" spans="1:4" s="1" customFormat="1" ht="14.25" customHeight="1" x14ac:dyDescent="0.3">
      <c r="A88" s="195" t="s">
        <v>63</v>
      </c>
      <c r="B88" s="123">
        <v>0</v>
      </c>
      <c r="C88" s="196">
        <f t="shared" si="10"/>
        <v>0</v>
      </c>
      <c r="D88" s="80"/>
    </row>
    <row r="89" spans="1:4" s="1" customFormat="1" ht="14.5" thickBot="1" x14ac:dyDescent="0.35">
      <c r="A89" s="197" t="s">
        <v>49</v>
      </c>
      <c r="B89" s="198">
        <f>SUM(B84:B88)</f>
        <v>1</v>
      </c>
      <c r="C89" s="218">
        <f>SUM(C84:C88)</f>
        <v>1</v>
      </c>
      <c r="D89" s="17"/>
    </row>
    <row r="90" spans="1:4" s="1" customFormat="1" x14ac:dyDescent="0.3">
      <c r="A90" s="176"/>
      <c r="B90" s="177"/>
      <c r="C90" s="178"/>
      <c r="D90" s="170"/>
    </row>
    <row r="91" spans="1:4" s="1" customFormat="1" ht="14.5" thickBot="1" x14ac:dyDescent="0.35">
      <c r="A91" s="176"/>
      <c r="B91" s="177"/>
      <c r="C91" s="178"/>
      <c r="D91" s="170"/>
    </row>
    <row r="92" spans="1:4" s="1" customFormat="1" x14ac:dyDescent="0.3">
      <c r="A92" s="201" t="s">
        <v>64</v>
      </c>
      <c r="B92" s="202" t="s">
        <v>49</v>
      </c>
      <c r="C92" s="203" t="s">
        <v>50</v>
      </c>
      <c r="D92" s="2"/>
    </row>
    <row r="93" spans="1:4" s="1" customFormat="1" x14ac:dyDescent="0.3">
      <c r="A93" s="10" t="s">
        <v>51</v>
      </c>
      <c r="B93" s="123">
        <v>1</v>
      </c>
      <c r="C93" s="171">
        <f t="shared" ref="C93:C98" si="11">B93/9</f>
        <v>0.1111111111111111</v>
      </c>
      <c r="D93" s="2"/>
    </row>
    <row r="94" spans="1:4" s="1" customFormat="1" x14ac:dyDescent="0.3">
      <c r="A94" s="204" t="s">
        <v>52</v>
      </c>
      <c r="B94" s="123">
        <v>0</v>
      </c>
      <c r="C94" s="171">
        <f t="shared" si="11"/>
        <v>0</v>
      </c>
      <c r="D94" s="2"/>
    </row>
    <row r="95" spans="1:4" s="1" customFormat="1" x14ac:dyDescent="0.3">
      <c r="A95" s="204" t="s">
        <v>53</v>
      </c>
      <c r="B95" s="123">
        <v>0</v>
      </c>
      <c r="C95" s="171">
        <f t="shared" si="11"/>
        <v>0</v>
      </c>
      <c r="D95" s="2"/>
    </row>
    <row r="96" spans="1:4" s="1" customFormat="1" x14ac:dyDescent="0.3">
      <c r="A96" s="204" t="s">
        <v>54</v>
      </c>
      <c r="B96" s="123">
        <v>3</v>
      </c>
      <c r="C96" s="171">
        <v>0.34</v>
      </c>
      <c r="D96" s="2"/>
    </row>
    <row r="97" spans="1:4" s="1" customFormat="1" x14ac:dyDescent="0.3">
      <c r="A97" s="204" t="s">
        <v>55</v>
      </c>
      <c r="B97" s="123">
        <v>2</v>
      </c>
      <c r="C97" s="171">
        <f t="shared" si="11"/>
        <v>0.22222222222222221</v>
      </c>
      <c r="D97" s="2"/>
    </row>
    <row r="98" spans="1:4" s="1" customFormat="1" x14ac:dyDescent="0.3">
      <c r="A98" s="204" t="s">
        <v>56</v>
      </c>
      <c r="B98" s="123">
        <v>1</v>
      </c>
      <c r="C98" s="171">
        <f t="shared" si="11"/>
        <v>0.1111111111111111</v>
      </c>
      <c r="D98" s="2"/>
    </row>
    <row r="99" spans="1:4" s="1" customFormat="1" x14ac:dyDescent="0.3">
      <c r="A99" s="204" t="s">
        <v>57</v>
      </c>
      <c r="B99" s="123">
        <v>2</v>
      </c>
      <c r="C99" s="171">
        <f>B99/9</f>
        <v>0.22222222222222221</v>
      </c>
      <c r="D99" s="2"/>
    </row>
    <row r="100" spans="1:4" s="1" customFormat="1" ht="14.5" thickBot="1" x14ac:dyDescent="0.35">
      <c r="A100" s="205" t="s">
        <v>49</v>
      </c>
      <c r="B100" s="206">
        <f>SUM(B93:B99)</f>
        <v>9</v>
      </c>
      <c r="C100" s="217">
        <f>SUM(C93:C99)</f>
        <v>1.0066666666666668</v>
      </c>
      <c r="D100" s="2"/>
    </row>
    <row r="101" spans="1:4" s="1" customFormat="1" x14ac:dyDescent="0.3">
      <c r="A101" s="179"/>
      <c r="B101" s="179"/>
      <c r="C101" s="180"/>
      <c r="D101" s="181"/>
    </row>
    <row r="102" spans="1:4" s="1" customFormat="1" ht="14.5" thickBot="1" x14ac:dyDescent="0.35">
      <c r="A102" s="179"/>
      <c r="B102" s="179"/>
      <c r="C102" s="180"/>
      <c r="D102" s="181"/>
    </row>
    <row r="103" spans="1:4" s="1" customFormat="1" x14ac:dyDescent="0.3">
      <c r="A103" s="235" t="s">
        <v>65</v>
      </c>
      <c r="B103" s="236" t="s">
        <v>49</v>
      </c>
      <c r="C103" s="237" t="s">
        <v>50</v>
      </c>
      <c r="D103" s="2"/>
    </row>
    <row r="104" spans="1:4" s="1" customFormat="1" x14ac:dyDescent="0.3">
      <c r="A104" s="210" t="s">
        <v>59</v>
      </c>
      <c r="B104" s="123">
        <v>0</v>
      </c>
      <c r="C104" s="171">
        <f>B104/2</f>
        <v>0</v>
      </c>
      <c r="D104" s="2"/>
    </row>
    <row r="105" spans="1:4" s="1" customFormat="1" x14ac:dyDescent="0.3">
      <c r="A105" s="212" t="s">
        <v>60</v>
      </c>
      <c r="B105" s="123">
        <v>0</v>
      </c>
      <c r="C105" s="171">
        <f t="shared" ref="C105:C108" si="12">B105/2</f>
        <v>0</v>
      </c>
      <c r="D105" s="2"/>
    </row>
    <row r="106" spans="1:4" s="1" customFormat="1" x14ac:dyDescent="0.3">
      <c r="A106" s="212" t="s">
        <v>61</v>
      </c>
      <c r="B106" s="123">
        <v>1</v>
      </c>
      <c r="C106" s="171">
        <f t="shared" si="12"/>
        <v>0.5</v>
      </c>
      <c r="D106" s="2"/>
    </row>
    <row r="107" spans="1:4" s="1" customFormat="1" ht="14.25" customHeight="1" x14ac:dyDescent="0.3">
      <c r="A107" s="212" t="s">
        <v>62</v>
      </c>
      <c r="B107" s="123">
        <v>0</v>
      </c>
      <c r="C107" s="171">
        <f t="shared" si="12"/>
        <v>0</v>
      </c>
      <c r="D107" s="2"/>
    </row>
    <row r="108" spans="1:4" s="1" customFormat="1" x14ac:dyDescent="0.3">
      <c r="A108" s="212" t="s">
        <v>63</v>
      </c>
      <c r="B108" s="123">
        <v>1</v>
      </c>
      <c r="C108" s="171">
        <f t="shared" si="12"/>
        <v>0.5</v>
      </c>
      <c r="D108" s="2"/>
    </row>
    <row r="109" spans="1:4" s="1" customFormat="1" ht="14.5" thickBot="1" x14ac:dyDescent="0.35">
      <c r="A109" s="214" t="s">
        <v>49</v>
      </c>
      <c r="B109" s="206">
        <f>SUM(B104:B108)</f>
        <v>2</v>
      </c>
      <c r="C109" s="215">
        <f>SUM(C104:C108)</f>
        <v>1</v>
      </c>
      <c r="D109" s="2"/>
    </row>
    <row r="110" spans="1:4" s="1" customFormat="1" x14ac:dyDescent="0.3">
      <c r="A110" s="182"/>
      <c r="B110" s="179"/>
      <c r="C110" s="183"/>
      <c r="D110" s="181"/>
    </row>
    <row r="111" spans="1:4" s="1" customFormat="1" x14ac:dyDescent="0.3">
      <c r="A111" s="182"/>
      <c r="B111" s="179"/>
      <c r="C111" s="183"/>
      <c r="D111" s="181"/>
    </row>
    <row r="112" spans="1:4" s="1" customFormat="1" x14ac:dyDescent="0.3">
      <c r="A112" s="248" t="s">
        <v>66</v>
      </c>
      <c r="B112" s="179"/>
      <c r="C112" s="183"/>
      <c r="D112" s="181"/>
    </row>
    <row r="113" spans="1:8" s="1" customFormat="1" x14ac:dyDescent="0.3">
      <c r="A113" s="182"/>
      <c r="B113" s="179"/>
      <c r="C113" s="183"/>
      <c r="D113" s="181"/>
    </row>
    <row r="114" spans="1:8" s="1" customFormat="1" ht="14.25" customHeight="1" x14ac:dyDescent="0.3">
      <c r="A114" s="49" t="s">
        <v>67</v>
      </c>
      <c r="B114" s="73" t="s">
        <v>68</v>
      </c>
      <c r="C114" s="79" t="s">
        <v>49</v>
      </c>
      <c r="D114" s="74" t="s">
        <v>50</v>
      </c>
      <c r="F114" s="163" t="s">
        <v>69</v>
      </c>
      <c r="G114" s="164" t="s">
        <v>70</v>
      </c>
      <c r="H114" s="165" t="s">
        <v>50</v>
      </c>
    </row>
    <row r="115" spans="1:8" x14ac:dyDescent="0.3">
      <c r="A115" s="25" t="s">
        <v>71</v>
      </c>
      <c r="B115" s="15" t="s">
        <v>72</v>
      </c>
      <c r="C115" s="15">
        <v>8</v>
      </c>
      <c r="D115" s="171">
        <f>C115/76</f>
        <v>0.10526315789473684</v>
      </c>
      <c r="E115" s="45"/>
      <c r="F115" s="25" t="s">
        <v>72</v>
      </c>
      <c r="G115" s="15">
        <v>20</v>
      </c>
      <c r="H115" s="171">
        <f t="shared" ref="H115:H120" si="13">G115/76</f>
        <v>0.26315789473684209</v>
      </c>
    </row>
    <row r="116" spans="1:8" x14ac:dyDescent="0.3">
      <c r="A116" s="25" t="s">
        <v>73</v>
      </c>
      <c r="B116" s="15" t="s">
        <v>72</v>
      </c>
      <c r="C116" s="15">
        <v>4</v>
      </c>
      <c r="D116" s="171">
        <f t="shared" ref="D116:D138" si="14">C116/76</f>
        <v>5.2631578947368418E-2</v>
      </c>
      <c r="E116" s="45"/>
      <c r="F116" s="25" t="s">
        <v>74</v>
      </c>
      <c r="G116" s="15">
        <v>1</v>
      </c>
      <c r="H116" s="171">
        <f t="shared" si="13"/>
        <v>1.3157894736842105E-2</v>
      </c>
    </row>
    <row r="117" spans="1:8" x14ac:dyDescent="0.3">
      <c r="A117" s="25" t="s">
        <v>75</v>
      </c>
      <c r="B117" s="15" t="s">
        <v>72</v>
      </c>
      <c r="C117" s="15">
        <v>7</v>
      </c>
      <c r="D117" s="171">
        <f t="shared" si="14"/>
        <v>9.2105263157894732E-2</v>
      </c>
      <c r="E117" s="45"/>
      <c r="F117" s="99" t="s">
        <v>76</v>
      </c>
      <c r="G117" s="15">
        <v>22</v>
      </c>
      <c r="H117" s="171">
        <f t="shared" si="13"/>
        <v>0.28947368421052633</v>
      </c>
    </row>
    <row r="118" spans="1:8" x14ac:dyDescent="0.3">
      <c r="A118" s="25" t="s">
        <v>77</v>
      </c>
      <c r="B118" s="15" t="s">
        <v>72</v>
      </c>
      <c r="C118" s="15">
        <v>1</v>
      </c>
      <c r="D118" s="171">
        <f t="shared" si="14"/>
        <v>1.3157894736842105E-2</v>
      </c>
      <c r="E118" s="45"/>
      <c r="F118" s="25" t="s">
        <v>78</v>
      </c>
      <c r="G118" s="15">
        <v>6</v>
      </c>
      <c r="H118" s="171">
        <f t="shared" si="13"/>
        <v>7.8947368421052627E-2</v>
      </c>
    </row>
    <row r="119" spans="1:8" x14ac:dyDescent="0.3">
      <c r="A119" s="25" t="s">
        <v>74</v>
      </c>
      <c r="B119" s="15" t="s">
        <v>74</v>
      </c>
      <c r="C119" s="15">
        <v>1</v>
      </c>
      <c r="D119" s="171">
        <f t="shared" si="14"/>
        <v>1.3157894736842105E-2</v>
      </c>
      <c r="E119" s="45"/>
      <c r="F119" s="25" t="s">
        <v>79</v>
      </c>
      <c r="G119" s="15">
        <v>11</v>
      </c>
      <c r="H119" s="171">
        <v>0.15</v>
      </c>
    </row>
    <row r="120" spans="1:8" ht="14.5" thickBot="1" x14ac:dyDescent="0.35">
      <c r="A120" s="25" t="s">
        <v>115</v>
      </c>
      <c r="B120" s="15" t="s">
        <v>76</v>
      </c>
      <c r="C120" s="15">
        <v>1</v>
      </c>
      <c r="D120" s="171">
        <f t="shared" si="14"/>
        <v>1.3157894736842105E-2</v>
      </c>
      <c r="E120" s="45"/>
      <c r="F120" s="34" t="s">
        <v>81</v>
      </c>
      <c r="G120" s="24">
        <v>16</v>
      </c>
      <c r="H120" s="228">
        <f t="shared" si="13"/>
        <v>0.21052631578947367</v>
      </c>
    </row>
    <row r="121" spans="1:8" x14ac:dyDescent="0.3">
      <c r="A121" s="25" t="s">
        <v>82</v>
      </c>
      <c r="B121" s="15" t="s">
        <v>76</v>
      </c>
      <c r="C121" s="15">
        <v>2</v>
      </c>
      <c r="D121" s="171">
        <f t="shared" si="14"/>
        <v>2.6315789473684209E-2</v>
      </c>
    </row>
    <row r="122" spans="1:8" x14ac:dyDescent="0.3">
      <c r="A122" s="25" t="s">
        <v>86</v>
      </c>
      <c r="B122" s="15" t="s">
        <v>76</v>
      </c>
      <c r="C122" s="15">
        <v>1</v>
      </c>
      <c r="D122" s="171">
        <f t="shared" si="14"/>
        <v>1.3157894736842105E-2</v>
      </c>
    </row>
    <row r="123" spans="1:8" x14ac:dyDescent="0.3">
      <c r="A123" s="25" t="s">
        <v>87</v>
      </c>
      <c r="B123" s="15" t="s">
        <v>76</v>
      </c>
      <c r="C123" s="15">
        <v>2</v>
      </c>
      <c r="D123" s="171">
        <f t="shared" si="14"/>
        <v>2.6315789473684209E-2</v>
      </c>
    </row>
    <row r="124" spans="1:8" x14ac:dyDescent="0.3">
      <c r="A124" s="25" t="s">
        <v>89</v>
      </c>
      <c r="B124" s="15" t="s">
        <v>76</v>
      </c>
      <c r="C124" s="15">
        <v>1</v>
      </c>
      <c r="D124" s="171">
        <f t="shared" si="14"/>
        <v>1.3157894736842105E-2</v>
      </c>
    </row>
    <row r="125" spans="1:8" x14ac:dyDescent="0.3">
      <c r="A125" s="25" t="s">
        <v>90</v>
      </c>
      <c r="B125" s="15" t="s">
        <v>76</v>
      </c>
      <c r="C125" s="15">
        <v>12</v>
      </c>
      <c r="D125" s="171">
        <f t="shared" si="14"/>
        <v>0.15789473684210525</v>
      </c>
    </row>
    <row r="126" spans="1:8" x14ac:dyDescent="0.3">
      <c r="A126" s="25" t="s">
        <v>91</v>
      </c>
      <c r="B126" s="15" t="s">
        <v>76</v>
      </c>
      <c r="C126" s="15">
        <v>1</v>
      </c>
      <c r="D126" s="171">
        <f t="shared" si="14"/>
        <v>1.3157894736842105E-2</v>
      </c>
    </row>
    <row r="127" spans="1:8" x14ac:dyDescent="0.3">
      <c r="A127" s="25" t="s">
        <v>92</v>
      </c>
      <c r="B127" s="15" t="s">
        <v>76</v>
      </c>
      <c r="C127" s="15">
        <v>1</v>
      </c>
      <c r="D127" s="171">
        <f t="shared" si="14"/>
        <v>1.3157894736842105E-2</v>
      </c>
    </row>
    <row r="128" spans="1:8" x14ac:dyDescent="0.3">
      <c r="A128" s="25" t="s">
        <v>93</v>
      </c>
      <c r="B128" s="15" t="s">
        <v>76</v>
      </c>
      <c r="C128" s="15">
        <v>1</v>
      </c>
      <c r="D128" s="171">
        <f t="shared" si="14"/>
        <v>1.3157894736842105E-2</v>
      </c>
    </row>
    <row r="129" spans="1:8" x14ac:dyDescent="0.3">
      <c r="A129" s="25" t="s">
        <v>95</v>
      </c>
      <c r="B129" s="15" t="s">
        <v>78</v>
      </c>
      <c r="C129" s="15">
        <v>4</v>
      </c>
      <c r="D129" s="171">
        <f t="shared" si="14"/>
        <v>5.2631578947368418E-2</v>
      </c>
    </row>
    <row r="130" spans="1:8" x14ac:dyDescent="0.3">
      <c r="A130" s="25" t="s">
        <v>96</v>
      </c>
      <c r="B130" s="15" t="s">
        <v>78</v>
      </c>
      <c r="C130" s="15">
        <v>2</v>
      </c>
      <c r="D130" s="171">
        <f t="shared" si="14"/>
        <v>2.6315789473684209E-2</v>
      </c>
    </row>
    <row r="131" spans="1:8" x14ac:dyDescent="0.3">
      <c r="A131" s="25" t="s">
        <v>100</v>
      </c>
      <c r="B131" s="15" t="s">
        <v>79</v>
      </c>
      <c r="C131" s="15">
        <v>1</v>
      </c>
      <c r="D131" s="171">
        <f t="shared" si="14"/>
        <v>1.3157894736842105E-2</v>
      </c>
    </row>
    <row r="132" spans="1:8" x14ac:dyDescent="0.3">
      <c r="A132" s="25" t="s">
        <v>101</v>
      </c>
      <c r="B132" s="15" t="s">
        <v>79</v>
      </c>
      <c r="C132" s="15">
        <v>1</v>
      </c>
      <c r="D132" s="171">
        <f t="shared" si="14"/>
        <v>1.3157894736842105E-2</v>
      </c>
    </row>
    <row r="133" spans="1:8" x14ac:dyDescent="0.3">
      <c r="A133" s="25" t="s">
        <v>102</v>
      </c>
      <c r="B133" s="15" t="s">
        <v>79</v>
      </c>
      <c r="C133" s="15">
        <v>3</v>
      </c>
      <c r="D133" s="171">
        <f t="shared" si="14"/>
        <v>3.9473684210526314E-2</v>
      </c>
    </row>
    <row r="134" spans="1:8" x14ac:dyDescent="0.3">
      <c r="A134" s="25" t="s">
        <v>103</v>
      </c>
      <c r="B134" s="15" t="s">
        <v>79</v>
      </c>
      <c r="C134" s="15">
        <v>5</v>
      </c>
      <c r="D134" s="171">
        <f t="shared" si="14"/>
        <v>6.5789473684210523E-2</v>
      </c>
    </row>
    <row r="135" spans="1:8" x14ac:dyDescent="0.3">
      <c r="A135" s="25" t="s">
        <v>104</v>
      </c>
      <c r="B135" s="15" t="s">
        <v>79</v>
      </c>
      <c r="C135" s="15">
        <v>1</v>
      </c>
      <c r="D135" s="171">
        <f t="shared" si="14"/>
        <v>1.3157894736842105E-2</v>
      </c>
    </row>
    <row r="136" spans="1:8" x14ac:dyDescent="0.3">
      <c r="A136" s="25" t="s">
        <v>138</v>
      </c>
      <c r="B136" s="15" t="s">
        <v>81</v>
      </c>
      <c r="C136" s="15">
        <v>2</v>
      </c>
      <c r="D136" s="171">
        <f t="shared" si="14"/>
        <v>2.6315789473684209E-2</v>
      </c>
    </row>
    <row r="137" spans="1:8" x14ac:dyDescent="0.3">
      <c r="A137" s="15" t="s">
        <v>107</v>
      </c>
      <c r="B137" s="15" t="s">
        <v>81</v>
      </c>
      <c r="C137" s="15">
        <v>12</v>
      </c>
      <c r="D137" s="171">
        <f t="shared" si="14"/>
        <v>0.15789473684210525</v>
      </c>
    </row>
    <row r="138" spans="1:8" x14ac:dyDescent="0.3">
      <c r="A138" s="15" t="s">
        <v>108</v>
      </c>
      <c r="B138" s="15" t="s">
        <v>81</v>
      </c>
      <c r="C138" s="15">
        <v>2</v>
      </c>
      <c r="D138" s="171">
        <f t="shared" si="14"/>
        <v>2.6315789473684209E-2</v>
      </c>
    </row>
    <row r="139" spans="1:8" ht="14.5" thickBot="1" x14ac:dyDescent="0.35">
      <c r="A139" s="34" t="s">
        <v>109</v>
      </c>
      <c r="B139" s="24" t="s">
        <v>110</v>
      </c>
      <c r="C139" s="24">
        <v>3</v>
      </c>
      <c r="D139" s="169" t="s">
        <v>111</v>
      </c>
    </row>
    <row r="140" spans="1:8" x14ac:dyDescent="0.3">
      <c r="A140" s="37"/>
      <c r="B140" s="37"/>
      <c r="C140" s="37"/>
      <c r="D140" s="219"/>
    </row>
    <row r="141" spans="1:8" x14ac:dyDescent="0.3">
      <c r="C141" s="17"/>
    </row>
    <row r="142" spans="1:8" ht="14.5" thickBot="1" x14ac:dyDescent="0.35">
      <c r="C142" s="17"/>
    </row>
    <row r="143" spans="1:8" s="1" customFormat="1" x14ac:dyDescent="0.3">
      <c r="A143" s="8" t="s">
        <v>112</v>
      </c>
      <c r="B143" s="73" t="s">
        <v>68</v>
      </c>
      <c r="C143" s="9" t="s">
        <v>49</v>
      </c>
      <c r="D143" s="58" t="s">
        <v>50</v>
      </c>
      <c r="E143" s="88"/>
      <c r="F143" s="163" t="s">
        <v>113</v>
      </c>
      <c r="G143" s="9" t="s">
        <v>114</v>
      </c>
      <c r="H143" s="58" t="s">
        <v>50</v>
      </c>
    </row>
    <row r="144" spans="1:8" x14ac:dyDescent="0.3">
      <c r="A144" s="25" t="s">
        <v>71</v>
      </c>
      <c r="B144" s="15" t="s">
        <v>72</v>
      </c>
      <c r="C144" s="15">
        <v>3</v>
      </c>
      <c r="D144" s="171">
        <f>C144/21</f>
        <v>0.14285714285714285</v>
      </c>
      <c r="F144" s="25" t="s">
        <v>72</v>
      </c>
      <c r="G144" s="15">
        <v>7</v>
      </c>
      <c r="H144" s="171">
        <f t="shared" ref="H144:H148" si="15">G144/21</f>
        <v>0.33333333333333331</v>
      </c>
    </row>
    <row r="145" spans="1:8" x14ac:dyDescent="0.3">
      <c r="A145" s="25" t="s">
        <v>75</v>
      </c>
      <c r="B145" s="15" t="s">
        <v>72</v>
      </c>
      <c r="C145" s="15">
        <v>4</v>
      </c>
      <c r="D145" s="171">
        <f t="shared" ref="D145:D154" si="16">C145/21</f>
        <v>0.19047619047619047</v>
      </c>
      <c r="F145" s="25" t="s">
        <v>76</v>
      </c>
      <c r="G145" s="15">
        <v>5</v>
      </c>
      <c r="H145" s="171">
        <f t="shared" si="15"/>
        <v>0.23809523809523808</v>
      </c>
    </row>
    <row r="146" spans="1:8" x14ac:dyDescent="0.3">
      <c r="A146" s="25" t="s">
        <v>115</v>
      </c>
      <c r="B146" s="15" t="s">
        <v>76</v>
      </c>
      <c r="C146" s="15">
        <v>2</v>
      </c>
      <c r="D146" s="171">
        <f t="shared" si="16"/>
        <v>9.5238095238095233E-2</v>
      </c>
      <c r="F146" s="25" t="s">
        <v>78</v>
      </c>
      <c r="G146" s="15">
        <v>2</v>
      </c>
      <c r="H146" s="171">
        <f t="shared" si="15"/>
        <v>9.5238095238095233E-2</v>
      </c>
    </row>
    <row r="147" spans="1:8" x14ac:dyDescent="0.3">
      <c r="A147" s="25" t="s">
        <v>85</v>
      </c>
      <c r="B147" s="15" t="s">
        <v>76</v>
      </c>
      <c r="C147" s="15">
        <v>1</v>
      </c>
      <c r="D147" s="171">
        <f t="shared" si="16"/>
        <v>4.7619047619047616E-2</v>
      </c>
      <c r="F147" s="25" t="s">
        <v>79</v>
      </c>
      <c r="G147" s="15">
        <v>2</v>
      </c>
      <c r="H147" s="171">
        <f t="shared" si="15"/>
        <v>9.5238095238095233E-2</v>
      </c>
    </row>
    <row r="148" spans="1:8" ht="14.5" thickBot="1" x14ac:dyDescent="0.35">
      <c r="A148" s="25" t="s">
        <v>86</v>
      </c>
      <c r="B148" s="15" t="s">
        <v>76</v>
      </c>
      <c r="C148" s="15">
        <v>1</v>
      </c>
      <c r="D148" s="171">
        <f t="shared" si="16"/>
        <v>4.7619047619047616E-2</v>
      </c>
      <c r="F148" s="34" t="s">
        <v>81</v>
      </c>
      <c r="G148" s="24">
        <v>5</v>
      </c>
      <c r="H148" s="228">
        <f t="shared" si="15"/>
        <v>0.23809523809523808</v>
      </c>
    </row>
    <row r="149" spans="1:8" x14ac:dyDescent="0.3">
      <c r="A149" s="25" t="s">
        <v>93</v>
      </c>
      <c r="B149" s="15" t="s">
        <v>76</v>
      </c>
      <c r="C149" s="15">
        <v>1</v>
      </c>
      <c r="D149" s="171">
        <f t="shared" si="16"/>
        <v>4.7619047619047616E-2</v>
      </c>
      <c r="F149" s="37"/>
      <c r="H149" s="17"/>
    </row>
    <row r="150" spans="1:8" x14ac:dyDescent="0.3">
      <c r="A150" s="25" t="s">
        <v>95</v>
      </c>
      <c r="B150" s="15" t="s">
        <v>78</v>
      </c>
      <c r="C150" s="15">
        <v>1</v>
      </c>
      <c r="D150" s="171">
        <f t="shared" si="16"/>
        <v>4.7619047619047616E-2</v>
      </c>
    </row>
    <row r="151" spans="1:8" x14ac:dyDescent="0.3">
      <c r="A151" s="25" t="s">
        <v>96</v>
      </c>
      <c r="B151" s="15" t="s">
        <v>78</v>
      </c>
      <c r="C151" s="15">
        <v>1</v>
      </c>
      <c r="D151" s="171">
        <f t="shared" si="16"/>
        <v>4.7619047619047616E-2</v>
      </c>
    </row>
    <row r="152" spans="1:8" x14ac:dyDescent="0.3">
      <c r="A152" s="25" t="s">
        <v>98</v>
      </c>
      <c r="B152" s="15" t="s">
        <v>79</v>
      </c>
      <c r="C152" s="15">
        <v>1</v>
      </c>
      <c r="D152" s="171">
        <f t="shared" si="16"/>
        <v>4.7619047619047616E-2</v>
      </c>
    </row>
    <row r="153" spans="1:8" x14ac:dyDescent="0.3">
      <c r="A153" s="25" t="s">
        <v>102</v>
      </c>
      <c r="B153" s="15" t="s">
        <v>79</v>
      </c>
      <c r="C153" s="15">
        <v>1</v>
      </c>
      <c r="D153" s="171">
        <f t="shared" si="16"/>
        <v>4.7619047619047616E-2</v>
      </c>
    </row>
    <row r="154" spans="1:8" x14ac:dyDescent="0.3">
      <c r="A154" s="15" t="s">
        <v>107</v>
      </c>
      <c r="B154" s="15" t="s">
        <v>81</v>
      </c>
      <c r="C154" s="15">
        <v>5</v>
      </c>
      <c r="D154" s="171">
        <f t="shared" si="16"/>
        <v>0.23809523809523808</v>
      </c>
    </row>
    <row r="155" spans="1:8" ht="14.5" thickBot="1" x14ac:dyDescent="0.35">
      <c r="A155" s="34" t="s">
        <v>109</v>
      </c>
      <c r="B155" s="24" t="s">
        <v>110</v>
      </c>
      <c r="C155" s="24">
        <v>1</v>
      </c>
      <c r="D155" s="169" t="s">
        <v>111</v>
      </c>
    </row>
    <row r="156" spans="1:8" x14ac:dyDescent="0.3">
      <c r="A156" s="37"/>
      <c r="B156" s="37"/>
      <c r="C156" s="37"/>
      <c r="D156" s="219"/>
    </row>
    <row r="157" spans="1:8" x14ac:dyDescent="0.3">
      <c r="A157" s="37"/>
      <c r="B157" s="37"/>
      <c r="C157" s="37"/>
      <c r="D157" s="219"/>
    </row>
    <row r="158" spans="1:8" x14ac:dyDescent="0.3">
      <c r="A158" s="37"/>
      <c r="B158" s="37"/>
      <c r="C158" s="37"/>
      <c r="D158" s="219"/>
    </row>
    <row r="159" spans="1:8" x14ac:dyDescent="0.3">
      <c r="A159" s="37"/>
      <c r="B159" s="37"/>
      <c r="C159" s="37"/>
      <c r="D159" s="219"/>
    </row>
    <row r="160" spans="1:8" x14ac:dyDescent="0.3">
      <c r="A160" s="37"/>
      <c r="B160" s="37"/>
      <c r="C160" s="37"/>
      <c r="D160" s="219"/>
    </row>
    <row r="161" spans="1:8" x14ac:dyDescent="0.3">
      <c r="A161" s="37"/>
      <c r="B161" s="37"/>
      <c r="C161" s="37"/>
      <c r="D161" s="219"/>
    </row>
    <row r="162" spans="1:8" x14ac:dyDescent="0.3">
      <c r="A162" s="37"/>
      <c r="B162" s="37"/>
      <c r="C162" s="37"/>
      <c r="D162" s="219"/>
    </row>
    <row r="163" spans="1:8" x14ac:dyDescent="0.3">
      <c r="A163" s="37"/>
      <c r="B163" s="37"/>
      <c r="C163" s="37"/>
      <c r="D163" s="219"/>
    </row>
    <row r="164" spans="1:8" x14ac:dyDescent="0.3">
      <c r="A164" s="37"/>
      <c r="B164" s="37"/>
      <c r="C164" s="37"/>
      <c r="D164" s="219"/>
    </row>
    <row r="165" spans="1:8" x14ac:dyDescent="0.3">
      <c r="A165" s="37"/>
      <c r="B165" s="37"/>
      <c r="C165" s="37"/>
      <c r="D165" s="219"/>
    </row>
    <row r="166" spans="1:8" x14ac:dyDescent="0.3">
      <c r="A166" s="37"/>
      <c r="B166" s="37"/>
      <c r="C166" s="37"/>
      <c r="D166" s="219"/>
    </row>
    <row r="167" spans="1:8" x14ac:dyDescent="0.3">
      <c r="A167" s="37"/>
      <c r="B167" s="37"/>
      <c r="C167" s="37"/>
      <c r="D167" s="219"/>
    </row>
    <row r="168" spans="1:8" ht="14.5" thickBot="1" x14ac:dyDescent="0.35">
      <c r="A168" s="37"/>
      <c r="B168" s="37"/>
      <c r="C168" s="37"/>
      <c r="D168" s="219"/>
    </row>
    <row r="169" spans="1:8" x14ac:dyDescent="0.3">
      <c r="A169" s="8" t="s">
        <v>119</v>
      </c>
      <c r="B169" s="9" t="s">
        <v>68</v>
      </c>
      <c r="C169" s="9" t="s">
        <v>49</v>
      </c>
      <c r="D169" s="58" t="s">
        <v>50</v>
      </c>
      <c r="F169" s="8" t="s">
        <v>120</v>
      </c>
      <c r="G169" s="9" t="s">
        <v>114</v>
      </c>
      <c r="H169" s="58" t="s">
        <v>50</v>
      </c>
    </row>
    <row r="170" spans="1:8" x14ac:dyDescent="0.3">
      <c r="A170" s="25" t="s">
        <v>71</v>
      </c>
      <c r="B170" s="15" t="s">
        <v>72</v>
      </c>
      <c r="C170" s="15">
        <v>47</v>
      </c>
      <c r="D170" s="171">
        <f>C170/125</f>
        <v>0.376</v>
      </c>
      <c r="F170" s="25" t="s">
        <v>72</v>
      </c>
      <c r="G170" s="15">
        <v>58</v>
      </c>
      <c r="H170" s="171">
        <f t="shared" ref="H170:H173" si="17">G170/125</f>
        <v>0.46400000000000002</v>
      </c>
    </row>
    <row r="171" spans="1:8" s="1" customFormat="1" x14ac:dyDescent="0.3">
      <c r="A171" s="25" t="s">
        <v>73</v>
      </c>
      <c r="B171" s="15" t="s">
        <v>72</v>
      </c>
      <c r="C171" s="15">
        <v>5</v>
      </c>
      <c r="D171" s="171">
        <f t="shared" ref="D171:D186" si="18">C171/125</f>
        <v>0.04</v>
      </c>
      <c r="F171" s="25" t="s">
        <v>76</v>
      </c>
      <c r="G171" s="15">
        <v>3</v>
      </c>
      <c r="H171" s="171">
        <f t="shared" si="17"/>
        <v>2.4E-2</v>
      </c>
    </row>
    <row r="172" spans="1:8" x14ac:dyDescent="0.3">
      <c r="A172" s="25" t="s">
        <v>75</v>
      </c>
      <c r="B172" s="15" t="s">
        <v>72</v>
      </c>
      <c r="C172" s="15">
        <v>2</v>
      </c>
      <c r="D172" s="171">
        <f t="shared" si="18"/>
        <v>1.6E-2</v>
      </c>
      <c r="E172" s="45"/>
      <c r="F172" s="25" t="s">
        <v>79</v>
      </c>
      <c r="G172" s="15">
        <v>28</v>
      </c>
      <c r="H172" s="171">
        <f t="shared" si="17"/>
        <v>0.224</v>
      </c>
    </row>
    <row r="173" spans="1:8" ht="14.5" thickBot="1" x14ac:dyDescent="0.35">
      <c r="A173" s="25" t="s">
        <v>77</v>
      </c>
      <c r="B173" s="15" t="s">
        <v>72</v>
      </c>
      <c r="C173" s="15">
        <v>4</v>
      </c>
      <c r="D173" s="171">
        <f t="shared" si="18"/>
        <v>3.2000000000000001E-2</v>
      </c>
      <c r="E173" s="45"/>
      <c r="F173" s="34" t="s">
        <v>81</v>
      </c>
      <c r="G173" s="24">
        <v>36</v>
      </c>
      <c r="H173" s="228">
        <f t="shared" si="17"/>
        <v>0.28799999999999998</v>
      </c>
    </row>
    <row r="174" spans="1:8" x14ac:dyDescent="0.3">
      <c r="A174" s="25" t="s">
        <v>86</v>
      </c>
      <c r="B174" s="15" t="s">
        <v>76</v>
      </c>
      <c r="C174" s="15">
        <v>1</v>
      </c>
      <c r="D174" s="171">
        <f t="shared" si="18"/>
        <v>8.0000000000000002E-3</v>
      </c>
      <c r="E174" s="45"/>
      <c r="F174" s="37"/>
      <c r="H174" s="17"/>
    </row>
    <row r="175" spans="1:8" x14ac:dyDescent="0.3">
      <c r="A175" s="25" t="s">
        <v>89</v>
      </c>
      <c r="B175" s="15" t="s">
        <v>76</v>
      </c>
      <c r="C175" s="15">
        <v>1</v>
      </c>
      <c r="D175" s="171">
        <f t="shared" si="18"/>
        <v>8.0000000000000002E-3</v>
      </c>
      <c r="E175" s="45"/>
    </row>
    <row r="176" spans="1:8" x14ac:dyDescent="0.3">
      <c r="A176" s="25" t="s">
        <v>90</v>
      </c>
      <c r="B176" s="15" t="s">
        <v>76</v>
      </c>
      <c r="C176" s="15">
        <v>1</v>
      </c>
      <c r="D176" s="171">
        <f t="shared" si="18"/>
        <v>8.0000000000000002E-3</v>
      </c>
      <c r="E176" s="45"/>
    </row>
    <row r="177" spans="1:5" x14ac:dyDescent="0.3">
      <c r="A177" s="25" t="s">
        <v>98</v>
      </c>
      <c r="B177" s="15" t="s">
        <v>79</v>
      </c>
      <c r="C177" s="15">
        <v>2</v>
      </c>
      <c r="D177" s="171">
        <f t="shared" si="18"/>
        <v>1.6E-2</v>
      </c>
      <c r="E177" s="45"/>
    </row>
    <row r="178" spans="1:5" x14ac:dyDescent="0.3">
      <c r="A178" s="25" t="s">
        <v>99</v>
      </c>
      <c r="B178" s="15" t="s">
        <v>79</v>
      </c>
      <c r="C178" s="15">
        <v>1</v>
      </c>
      <c r="D178" s="171">
        <f t="shared" si="18"/>
        <v>8.0000000000000002E-3</v>
      </c>
      <c r="E178" s="45"/>
    </row>
    <row r="179" spans="1:5" x14ac:dyDescent="0.3">
      <c r="A179" s="25" t="s">
        <v>100</v>
      </c>
      <c r="B179" s="15" t="s">
        <v>79</v>
      </c>
      <c r="C179" s="15">
        <v>1</v>
      </c>
      <c r="D179" s="171">
        <f t="shared" si="18"/>
        <v>8.0000000000000002E-3</v>
      </c>
    </row>
    <row r="180" spans="1:5" x14ac:dyDescent="0.3">
      <c r="A180" s="25" t="s">
        <v>102</v>
      </c>
      <c r="B180" s="15" t="s">
        <v>79</v>
      </c>
      <c r="C180" s="15">
        <v>2</v>
      </c>
      <c r="D180" s="171">
        <f t="shared" si="18"/>
        <v>1.6E-2</v>
      </c>
    </row>
    <row r="181" spans="1:5" x14ac:dyDescent="0.3">
      <c r="A181" s="25" t="s">
        <v>103</v>
      </c>
      <c r="B181" s="15" t="s">
        <v>79</v>
      </c>
      <c r="C181" s="15">
        <v>21</v>
      </c>
      <c r="D181" s="171">
        <f t="shared" si="18"/>
        <v>0.16800000000000001</v>
      </c>
    </row>
    <row r="182" spans="1:5" x14ac:dyDescent="0.3">
      <c r="A182" s="25" t="s">
        <v>104</v>
      </c>
      <c r="B182" s="15" t="s">
        <v>79</v>
      </c>
      <c r="C182" s="15">
        <v>1</v>
      </c>
      <c r="D182" s="171">
        <f t="shared" si="18"/>
        <v>8.0000000000000002E-3</v>
      </c>
    </row>
    <row r="183" spans="1:5" x14ac:dyDescent="0.3">
      <c r="A183" s="25" t="s">
        <v>138</v>
      </c>
      <c r="B183" s="15" t="s">
        <v>81</v>
      </c>
      <c r="C183" s="15">
        <v>18</v>
      </c>
      <c r="D183" s="171">
        <f t="shared" si="18"/>
        <v>0.14399999999999999</v>
      </c>
    </row>
    <row r="184" spans="1:5" x14ac:dyDescent="0.3">
      <c r="A184" s="25" t="s">
        <v>106</v>
      </c>
      <c r="B184" s="15" t="s">
        <v>81</v>
      </c>
      <c r="C184" s="15">
        <v>4</v>
      </c>
      <c r="D184" s="171">
        <f t="shared" si="18"/>
        <v>3.2000000000000001E-2</v>
      </c>
    </row>
    <row r="185" spans="1:5" x14ac:dyDescent="0.3">
      <c r="A185" s="25" t="s">
        <v>107</v>
      </c>
      <c r="B185" s="15" t="s">
        <v>81</v>
      </c>
      <c r="C185" s="15">
        <v>2</v>
      </c>
      <c r="D185" s="171">
        <f t="shared" si="18"/>
        <v>1.6E-2</v>
      </c>
    </row>
    <row r="186" spans="1:5" x14ac:dyDescent="0.3">
      <c r="A186" s="25" t="s">
        <v>124</v>
      </c>
      <c r="B186" s="15" t="s">
        <v>81</v>
      </c>
      <c r="C186" s="15">
        <v>12</v>
      </c>
      <c r="D186" s="171">
        <f t="shared" si="18"/>
        <v>9.6000000000000002E-2</v>
      </c>
    </row>
    <row r="187" spans="1:5" ht="14.5" thickBot="1" x14ac:dyDescent="0.35">
      <c r="A187" s="34" t="s">
        <v>109</v>
      </c>
      <c r="B187" s="24" t="s">
        <v>125</v>
      </c>
      <c r="C187" s="24">
        <v>18</v>
      </c>
      <c r="D187" s="169" t="s">
        <v>111</v>
      </c>
    </row>
    <row r="188" spans="1:5" x14ac:dyDescent="0.3">
      <c r="A188" s="37"/>
      <c r="B188" s="37"/>
      <c r="C188" s="37"/>
      <c r="D188" s="219"/>
    </row>
    <row r="189" spans="1:5" x14ac:dyDescent="0.3">
      <c r="C189" s="17"/>
    </row>
    <row r="190" spans="1:5" x14ac:dyDescent="0.3">
      <c r="C190" s="17"/>
    </row>
    <row r="191" spans="1:5" x14ac:dyDescent="0.3">
      <c r="C191" s="17"/>
    </row>
    <row r="192" spans="1:5" x14ac:dyDescent="0.3">
      <c r="C192" s="17"/>
    </row>
    <row r="193" spans="1:8" x14ac:dyDescent="0.3">
      <c r="C193" s="17"/>
    </row>
    <row r="194" spans="1:8" ht="14.5" thickBot="1" x14ac:dyDescent="0.35">
      <c r="F194" s="14"/>
    </row>
    <row r="195" spans="1:8" x14ac:dyDescent="0.3">
      <c r="A195" s="8" t="s">
        <v>126</v>
      </c>
      <c r="B195" s="9" t="s">
        <v>68</v>
      </c>
      <c r="C195" s="9" t="s">
        <v>49</v>
      </c>
      <c r="D195" s="58" t="s">
        <v>50</v>
      </c>
      <c r="F195" s="163" t="s">
        <v>127</v>
      </c>
      <c r="G195" s="9" t="s">
        <v>114</v>
      </c>
      <c r="H195" s="58" t="s">
        <v>50</v>
      </c>
    </row>
    <row r="196" spans="1:8" x14ac:dyDescent="0.3">
      <c r="A196" s="25" t="s">
        <v>71</v>
      </c>
      <c r="B196" s="15" t="s">
        <v>72</v>
      </c>
      <c r="C196" s="15">
        <v>16</v>
      </c>
      <c r="D196" s="171">
        <f>C196/111</f>
        <v>0.14414414414414414</v>
      </c>
      <c r="F196" s="25" t="s">
        <v>72</v>
      </c>
      <c r="G196" s="15">
        <v>23</v>
      </c>
      <c r="H196" s="171">
        <f t="shared" ref="H196:H200" si="19">G196/111</f>
        <v>0.2072072072072072</v>
      </c>
    </row>
    <row r="197" spans="1:8" x14ac:dyDescent="0.3">
      <c r="A197" s="25" t="s">
        <v>73</v>
      </c>
      <c r="B197" s="15" t="s">
        <v>72</v>
      </c>
      <c r="C197" s="15">
        <v>2</v>
      </c>
      <c r="D197" s="171">
        <f t="shared" ref="D197:D220" si="20">C197/111</f>
        <v>1.8018018018018018E-2</v>
      </c>
      <c r="F197" s="25" t="s">
        <v>76</v>
      </c>
      <c r="G197" s="15">
        <v>39</v>
      </c>
      <c r="H197" s="171">
        <f t="shared" si="19"/>
        <v>0.35135135135135137</v>
      </c>
    </row>
    <row r="198" spans="1:8" x14ac:dyDescent="0.3">
      <c r="A198" s="25" t="s">
        <v>75</v>
      </c>
      <c r="B198" s="15" t="s">
        <v>72</v>
      </c>
      <c r="C198" s="15">
        <v>3</v>
      </c>
      <c r="D198" s="171">
        <f t="shared" si="20"/>
        <v>2.7027027027027029E-2</v>
      </c>
      <c r="F198" s="25" t="s">
        <v>78</v>
      </c>
      <c r="G198" s="15">
        <v>11</v>
      </c>
      <c r="H198" s="171">
        <f t="shared" si="19"/>
        <v>9.90990990990991E-2</v>
      </c>
    </row>
    <row r="199" spans="1:8" s="1" customFormat="1" x14ac:dyDescent="0.3">
      <c r="A199" s="25" t="s">
        <v>77</v>
      </c>
      <c r="B199" s="15" t="s">
        <v>72</v>
      </c>
      <c r="C199" s="15">
        <v>2</v>
      </c>
      <c r="D199" s="171">
        <f t="shared" si="20"/>
        <v>1.8018018018018018E-2</v>
      </c>
      <c r="F199" s="25" t="s">
        <v>79</v>
      </c>
      <c r="G199" s="15">
        <v>30</v>
      </c>
      <c r="H199" s="171">
        <f t="shared" si="19"/>
        <v>0.27027027027027029</v>
      </c>
    </row>
    <row r="200" spans="1:8" ht="14.5" thickBot="1" x14ac:dyDescent="0.35">
      <c r="A200" s="25" t="s">
        <v>115</v>
      </c>
      <c r="B200" s="15" t="s">
        <v>76</v>
      </c>
      <c r="C200" s="15">
        <v>3</v>
      </c>
      <c r="D200" s="171">
        <f t="shared" si="20"/>
        <v>2.7027027027027029E-2</v>
      </c>
      <c r="E200" s="45"/>
      <c r="F200" s="34" t="s">
        <v>81</v>
      </c>
      <c r="G200" s="24">
        <v>8</v>
      </c>
      <c r="H200" s="228">
        <f t="shared" si="19"/>
        <v>7.2072072072072071E-2</v>
      </c>
    </row>
    <row r="201" spans="1:8" x14ac:dyDescent="0.3">
      <c r="A201" s="25" t="s">
        <v>85</v>
      </c>
      <c r="B201" s="15" t="s">
        <v>76</v>
      </c>
      <c r="C201" s="15">
        <v>1</v>
      </c>
      <c r="D201" s="171">
        <f t="shared" si="20"/>
        <v>9.0090090090090089E-3</v>
      </c>
      <c r="E201" s="45"/>
    </row>
    <row r="202" spans="1:8" x14ac:dyDescent="0.3">
      <c r="A202" s="25" t="s">
        <v>86</v>
      </c>
      <c r="B202" s="15" t="s">
        <v>76</v>
      </c>
      <c r="C202" s="15">
        <v>1</v>
      </c>
      <c r="D202" s="171">
        <f t="shared" si="20"/>
        <v>9.0090090090090089E-3</v>
      </c>
      <c r="E202" s="45"/>
    </row>
    <row r="203" spans="1:8" x14ac:dyDescent="0.3">
      <c r="A203" s="25" t="s">
        <v>87</v>
      </c>
      <c r="B203" s="15" t="s">
        <v>76</v>
      </c>
      <c r="C203" s="15">
        <v>2</v>
      </c>
      <c r="D203" s="171">
        <f t="shared" si="20"/>
        <v>1.8018018018018018E-2</v>
      </c>
      <c r="E203" s="45"/>
    </row>
    <row r="204" spans="1:8" x14ac:dyDescent="0.3">
      <c r="A204" s="25" t="s">
        <v>88</v>
      </c>
      <c r="B204" s="15" t="s">
        <v>76</v>
      </c>
      <c r="C204" s="15">
        <v>1</v>
      </c>
      <c r="D204" s="171">
        <f t="shared" si="20"/>
        <v>9.0090090090090089E-3</v>
      </c>
      <c r="E204" s="45"/>
    </row>
    <row r="205" spans="1:8" x14ac:dyDescent="0.3">
      <c r="A205" s="25" t="s">
        <v>90</v>
      </c>
      <c r="B205" s="15" t="s">
        <v>76</v>
      </c>
      <c r="C205" s="15">
        <v>19</v>
      </c>
      <c r="D205" s="171">
        <f t="shared" si="20"/>
        <v>0.17117117117117117</v>
      </c>
      <c r="E205" s="45"/>
    </row>
    <row r="206" spans="1:8" x14ac:dyDescent="0.3">
      <c r="A206" s="25" t="s">
        <v>91</v>
      </c>
      <c r="B206" s="15" t="s">
        <v>76</v>
      </c>
      <c r="C206" s="15">
        <v>7</v>
      </c>
      <c r="D206" s="171">
        <f t="shared" si="20"/>
        <v>6.3063063063063057E-2</v>
      </c>
    </row>
    <row r="207" spans="1:8" x14ac:dyDescent="0.3">
      <c r="A207" s="25" t="s">
        <v>92</v>
      </c>
      <c r="B207" s="15" t="s">
        <v>76</v>
      </c>
      <c r="C207" s="15">
        <v>2</v>
      </c>
      <c r="D207" s="171">
        <f t="shared" si="20"/>
        <v>1.8018018018018018E-2</v>
      </c>
    </row>
    <row r="208" spans="1:8" x14ac:dyDescent="0.3">
      <c r="A208" s="25" t="s">
        <v>93</v>
      </c>
      <c r="B208" s="15" t="s">
        <v>76</v>
      </c>
      <c r="C208" s="15">
        <v>3</v>
      </c>
      <c r="D208" s="171">
        <f t="shared" si="20"/>
        <v>2.7027027027027029E-2</v>
      </c>
    </row>
    <row r="209" spans="1:8" x14ac:dyDescent="0.3">
      <c r="A209" s="25" t="s">
        <v>95</v>
      </c>
      <c r="B209" s="15" t="s">
        <v>78</v>
      </c>
      <c r="C209" s="15">
        <v>5</v>
      </c>
      <c r="D209" s="171">
        <f t="shared" si="20"/>
        <v>4.5045045045045043E-2</v>
      </c>
    </row>
    <row r="210" spans="1:8" x14ac:dyDescent="0.3">
      <c r="A210" s="25" t="s">
        <v>96</v>
      </c>
      <c r="B210" s="15" t="s">
        <v>78</v>
      </c>
      <c r="C210" s="15">
        <v>6</v>
      </c>
      <c r="D210" s="171">
        <f t="shared" si="20"/>
        <v>5.4054054054054057E-2</v>
      </c>
    </row>
    <row r="211" spans="1:8" x14ac:dyDescent="0.3">
      <c r="A211" s="25" t="s">
        <v>97</v>
      </c>
      <c r="B211" s="15" t="s">
        <v>79</v>
      </c>
      <c r="C211" s="15">
        <v>5</v>
      </c>
      <c r="D211" s="171">
        <f t="shared" si="20"/>
        <v>4.5045045045045043E-2</v>
      </c>
    </row>
    <row r="212" spans="1:8" x14ac:dyDescent="0.3">
      <c r="A212" s="25" t="s">
        <v>98</v>
      </c>
      <c r="B212" s="15" t="s">
        <v>79</v>
      </c>
      <c r="C212" s="15">
        <v>1</v>
      </c>
      <c r="D212" s="171">
        <f t="shared" si="20"/>
        <v>9.0090090090090089E-3</v>
      </c>
    </row>
    <row r="213" spans="1:8" x14ac:dyDescent="0.3">
      <c r="A213" s="25" t="s">
        <v>99</v>
      </c>
      <c r="B213" s="15" t="s">
        <v>79</v>
      </c>
      <c r="C213" s="15">
        <v>3</v>
      </c>
      <c r="D213" s="171">
        <f t="shared" si="20"/>
        <v>2.7027027027027029E-2</v>
      </c>
    </row>
    <row r="214" spans="1:8" x14ac:dyDescent="0.3">
      <c r="A214" s="25" t="s">
        <v>100</v>
      </c>
      <c r="B214" s="15" t="s">
        <v>79</v>
      </c>
      <c r="C214" s="15">
        <v>5</v>
      </c>
      <c r="D214" s="171">
        <f t="shared" si="20"/>
        <v>4.5045045045045043E-2</v>
      </c>
    </row>
    <row r="215" spans="1:8" x14ac:dyDescent="0.3">
      <c r="A215" s="25" t="s">
        <v>101</v>
      </c>
      <c r="B215" s="15" t="s">
        <v>79</v>
      </c>
      <c r="C215" s="15">
        <v>6</v>
      </c>
      <c r="D215" s="171">
        <f t="shared" si="20"/>
        <v>5.4054054054054057E-2</v>
      </c>
    </row>
    <row r="216" spans="1:8" x14ac:dyDescent="0.3">
      <c r="A216" s="25" t="s">
        <v>102</v>
      </c>
      <c r="B216" s="15" t="s">
        <v>79</v>
      </c>
      <c r="C216" s="15">
        <v>4</v>
      </c>
      <c r="D216" s="171">
        <f t="shared" si="20"/>
        <v>3.6036036036036036E-2</v>
      </c>
    </row>
    <row r="217" spans="1:8" x14ac:dyDescent="0.3">
      <c r="A217" s="25" t="s">
        <v>103</v>
      </c>
      <c r="B217" s="15" t="s">
        <v>79</v>
      </c>
      <c r="C217" s="15">
        <v>6</v>
      </c>
      <c r="D217" s="171">
        <f t="shared" si="20"/>
        <v>5.4054054054054057E-2</v>
      </c>
    </row>
    <row r="218" spans="1:8" x14ac:dyDescent="0.3">
      <c r="A218" s="25" t="s">
        <v>138</v>
      </c>
      <c r="B218" s="15" t="s">
        <v>81</v>
      </c>
      <c r="C218" s="15">
        <v>1</v>
      </c>
      <c r="D218" s="171">
        <f t="shared" si="20"/>
        <v>9.0090090090090089E-3</v>
      </c>
    </row>
    <row r="219" spans="1:8" x14ac:dyDescent="0.3">
      <c r="A219" s="25" t="s">
        <v>107</v>
      </c>
      <c r="B219" s="15" t="s">
        <v>81</v>
      </c>
      <c r="C219" s="15">
        <v>4</v>
      </c>
      <c r="D219" s="171">
        <f t="shared" si="20"/>
        <v>3.6036036036036036E-2</v>
      </c>
    </row>
    <row r="220" spans="1:8" x14ac:dyDescent="0.3">
      <c r="A220" s="25" t="s">
        <v>108</v>
      </c>
      <c r="B220" s="15" t="s">
        <v>81</v>
      </c>
      <c r="C220" s="15">
        <v>3</v>
      </c>
      <c r="D220" s="171">
        <f t="shared" si="20"/>
        <v>2.7027027027027029E-2</v>
      </c>
    </row>
    <row r="221" spans="1:8" ht="14.5" thickBot="1" x14ac:dyDescent="0.35">
      <c r="A221" s="34" t="s">
        <v>130</v>
      </c>
      <c r="B221" s="24" t="s">
        <v>125</v>
      </c>
      <c r="C221" s="24">
        <v>7</v>
      </c>
      <c r="D221" s="169" t="s">
        <v>111</v>
      </c>
    </row>
    <row r="222" spans="1:8" x14ac:dyDescent="0.3">
      <c r="A222" s="37"/>
      <c r="B222" s="37"/>
      <c r="C222" s="37"/>
      <c r="D222" s="219"/>
    </row>
    <row r="223" spans="1:8" ht="14.5" thickBot="1" x14ac:dyDescent="0.35">
      <c r="C223" s="17"/>
    </row>
    <row r="224" spans="1:8" x14ac:dyDescent="0.3">
      <c r="A224" s="8" t="s">
        <v>131</v>
      </c>
      <c r="B224" s="9" t="s">
        <v>68</v>
      </c>
      <c r="C224" s="9" t="s">
        <v>49</v>
      </c>
      <c r="D224" s="58" t="s">
        <v>50</v>
      </c>
      <c r="F224" s="163" t="s">
        <v>132</v>
      </c>
      <c r="G224" s="9" t="s">
        <v>114</v>
      </c>
      <c r="H224" s="58" t="s">
        <v>50</v>
      </c>
    </row>
    <row r="225" spans="1:8" x14ac:dyDescent="0.3">
      <c r="A225" s="25" t="s">
        <v>71</v>
      </c>
      <c r="B225" s="15" t="s">
        <v>72</v>
      </c>
      <c r="C225" s="15">
        <v>5</v>
      </c>
      <c r="D225" s="171">
        <f>C225/33</f>
        <v>0.15151515151515152</v>
      </c>
      <c r="F225" s="25" t="s">
        <v>72</v>
      </c>
      <c r="G225" s="15">
        <v>12</v>
      </c>
      <c r="H225" s="171">
        <f t="shared" ref="H225:H229" si="21">G225/33</f>
        <v>0.36363636363636365</v>
      </c>
    </row>
    <row r="226" spans="1:8" x14ac:dyDescent="0.3">
      <c r="A226" s="25" t="s">
        <v>75</v>
      </c>
      <c r="B226" s="15" t="s">
        <v>72</v>
      </c>
      <c r="C226" s="15">
        <v>7</v>
      </c>
      <c r="D226" s="171">
        <f t="shared" ref="D226:D239" si="22">C226/33</f>
        <v>0.21212121212121213</v>
      </c>
      <c r="F226" s="99" t="s">
        <v>76</v>
      </c>
      <c r="G226" s="15">
        <v>14</v>
      </c>
      <c r="H226" s="171">
        <v>0.43</v>
      </c>
    </row>
    <row r="227" spans="1:8" x14ac:dyDescent="0.3">
      <c r="A227" s="25" t="s">
        <v>115</v>
      </c>
      <c r="B227" s="15" t="s">
        <v>76</v>
      </c>
      <c r="C227" s="15">
        <v>3</v>
      </c>
      <c r="D227" s="171">
        <f t="shared" si="22"/>
        <v>9.0909090909090912E-2</v>
      </c>
      <c r="F227" s="25" t="s">
        <v>78</v>
      </c>
      <c r="G227" s="15">
        <v>4</v>
      </c>
      <c r="H227" s="171">
        <f t="shared" si="21"/>
        <v>0.12121212121212122</v>
      </c>
    </row>
    <row r="228" spans="1:8" s="1" customFormat="1" x14ac:dyDescent="0.3">
      <c r="A228" s="25" t="s">
        <v>84</v>
      </c>
      <c r="B228" s="15" t="s">
        <v>76</v>
      </c>
      <c r="C228" s="15">
        <v>1</v>
      </c>
      <c r="D228" s="171">
        <f t="shared" si="22"/>
        <v>3.0303030303030304E-2</v>
      </c>
      <c r="F228" s="25" t="s">
        <v>79</v>
      </c>
      <c r="G228" s="15">
        <v>1</v>
      </c>
      <c r="H228" s="171">
        <f t="shared" si="21"/>
        <v>3.0303030303030304E-2</v>
      </c>
    </row>
    <row r="229" spans="1:8" ht="14.5" thickBot="1" x14ac:dyDescent="0.35">
      <c r="A229" s="25" t="s">
        <v>85</v>
      </c>
      <c r="B229" s="15" t="s">
        <v>76</v>
      </c>
      <c r="C229" s="15">
        <v>2</v>
      </c>
      <c r="D229" s="171">
        <f t="shared" si="22"/>
        <v>6.0606060606060608E-2</v>
      </c>
      <c r="E229" s="45"/>
      <c r="F229" s="34" t="s">
        <v>81</v>
      </c>
      <c r="G229" s="24">
        <v>2</v>
      </c>
      <c r="H229" s="228">
        <f t="shared" si="21"/>
        <v>6.0606060606060608E-2</v>
      </c>
    </row>
    <row r="230" spans="1:8" x14ac:dyDescent="0.3">
      <c r="A230" s="25" t="s">
        <v>88</v>
      </c>
      <c r="B230" s="15" t="s">
        <v>76</v>
      </c>
      <c r="C230" s="15">
        <v>1</v>
      </c>
      <c r="D230" s="171">
        <f t="shared" si="22"/>
        <v>3.0303030303030304E-2</v>
      </c>
      <c r="E230" s="45"/>
    </row>
    <row r="231" spans="1:8" x14ac:dyDescent="0.3">
      <c r="A231" s="25" t="s">
        <v>89</v>
      </c>
      <c r="B231" s="15" t="s">
        <v>76</v>
      </c>
      <c r="C231" s="15">
        <v>1</v>
      </c>
      <c r="D231" s="171">
        <f t="shared" si="22"/>
        <v>3.0303030303030304E-2</v>
      </c>
      <c r="E231" s="45"/>
    </row>
    <row r="232" spans="1:8" x14ac:dyDescent="0.3">
      <c r="A232" s="25" t="s">
        <v>90</v>
      </c>
      <c r="B232" s="15" t="s">
        <v>76</v>
      </c>
      <c r="C232" s="15">
        <v>2</v>
      </c>
      <c r="D232" s="171">
        <f t="shared" si="22"/>
        <v>6.0606060606060608E-2</v>
      </c>
      <c r="E232" s="45"/>
    </row>
    <row r="233" spans="1:8" x14ac:dyDescent="0.3">
      <c r="A233" s="25" t="s">
        <v>91</v>
      </c>
      <c r="B233" s="15" t="s">
        <v>76</v>
      </c>
      <c r="C233" s="15">
        <v>3</v>
      </c>
      <c r="D233" s="171">
        <f t="shared" si="22"/>
        <v>9.0909090909090912E-2</v>
      </c>
      <c r="E233" s="45"/>
    </row>
    <row r="234" spans="1:8" x14ac:dyDescent="0.3">
      <c r="A234" s="25" t="s">
        <v>93</v>
      </c>
      <c r="B234" s="15" t="s">
        <v>76</v>
      </c>
      <c r="C234" s="15">
        <v>1</v>
      </c>
      <c r="D234" s="171">
        <f t="shared" si="22"/>
        <v>3.0303030303030304E-2</v>
      </c>
      <c r="E234" s="45"/>
    </row>
    <row r="235" spans="1:8" x14ac:dyDescent="0.3">
      <c r="A235" s="25" t="s">
        <v>95</v>
      </c>
      <c r="B235" s="15" t="s">
        <v>78</v>
      </c>
      <c r="C235" s="15">
        <v>2</v>
      </c>
      <c r="D235" s="171">
        <f t="shared" si="22"/>
        <v>6.0606060606060608E-2</v>
      </c>
    </row>
    <row r="236" spans="1:8" x14ac:dyDescent="0.3">
      <c r="A236" s="25" t="s">
        <v>96</v>
      </c>
      <c r="B236" s="15" t="s">
        <v>78</v>
      </c>
      <c r="C236" s="15">
        <v>2</v>
      </c>
      <c r="D236" s="171">
        <f t="shared" si="22"/>
        <v>6.0606060606060608E-2</v>
      </c>
    </row>
    <row r="237" spans="1:8" x14ac:dyDescent="0.3">
      <c r="A237" s="25" t="s">
        <v>98</v>
      </c>
      <c r="B237" s="15" t="s">
        <v>79</v>
      </c>
      <c r="C237" s="15">
        <v>1</v>
      </c>
      <c r="D237" s="171">
        <f t="shared" si="22"/>
        <v>3.0303030303030304E-2</v>
      </c>
    </row>
    <row r="238" spans="1:8" x14ac:dyDescent="0.3">
      <c r="A238" s="25" t="s">
        <v>138</v>
      </c>
      <c r="B238" s="15" t="s">
        <v>81</v>
      </c>
      <c r="C238" s="15">
        <v>1</v>
      </c>
      <c r="D238" s="171">
        <f t="shared" si="22"/>
        <v>3.0303030303030304E-2</v>
      </c>
    </row>
    <row r="239" spans="1:8" x14ac:dyDescent="0.3">
      <c r="A239" s="25" t="s">
        <v>107</v>
      </c>
      <c r="B239" s="15" t="s">
        <v>81</v>
      </c>
      <c r="C239" s="15">
        <v>1</v>
      </c>
      <c r="D239" s="171">
        <f t="shared" si="22"/>
        <v>3.0303030303030304E-2</v>
      </c>
    </row>
    <row r="240" spans="1:8" ht="14.5" thickBot="1" x14ac:dyDescent="0.35">
      <c r="A240" s="34" t="s">
        <v>130</v>
      </c>
      <c r="B240" s="24" t="s">
        <v>125</v>
      </c>
      <c r="C240" s="24">
        <v>3</v>
      </c>
      <c r="D240" s="169" t="s">
        <v>111</v>
      </c>
    </row>
  </sheetData>
  <sheetProtection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>
    <tabColor rgb="FF00B0F0"/>
  </sheetPr>
  <dimension ref="A1:H258"/>
  <sheetViews>
    <sheetView showGridLines="0" zoomScale="75" zoomScaleNormal="75" workbookViewId="0">
      <selection activeCell="B15" sqref="B15"/>
    </sheetView>
  </sheetViews>
  <sheetFormatPr defaultColWidth="9" defaultRowHeight="14" x14ac:dyDescent="0.3"/>
  <cols>
    <col min="1" max="1" width="83.1796875" style="13" customWidth="1"/>
    <col min="2" max="2" width="20.7265625" style="13" customWidth="1"/>
    <col min="3" max="5" width="16.54296875" style="13" customWidth="1"/>
    <col min="6" max="6" width="78.26953125" style="13" bestFit="1" customWidth="1"/>
    <col min="7" max="8" width="14.1796875" style="13" bestFit="1" customWidth="1"/>
    <col min="9" max="16384" width="9" style="13"/>
  </cols>
  <sheetData>
    <row r="1" spans="1:5" x14ac:dyDescent="0.3">
      <c r="A1" s="3" t="s">
        <v>151</v>
      </c>
      <c r="B1" s="4" t="s">
        <v>1</v>
      </c>
      <c r="C1" s="4" t="s">
        <v>2</v>
      </c>
      <c r="D1" s="4" t="s">
        <v>3</v>
      </c>
      <c r="E1" s="5" t="s">
        <v>4</v>
      </c>
    </row>
    <row r="2" spans="1:5" x14ac:dyDescent="0.3">
      <c r="A2" s="28" t="s">
        <v>5</v>
      </c>
      <c r="B2" s="29">
        <v>6</v>
      </c>
      <c r="C2" s="29">
        <v>6</v>
      </c>
      <c r="D2" s="29">
        <v>6</v>
      </c>
      <c r="E2" s="30">
        <v>7</v>
      </c>
    </row>
    <row r="3" spans="1:5" x14ac:dyDescent="0.3">
      <c r="A3" s="28" t="s">
        <v>6</v>
      </c>
      <c r="B3" s="29">
        <v>7</v>
      </c>
      <c r="C3" s="29">
        <v>7</v>
      </c>
      <c r="D3" s="29">
        <v>7</v>
      </c>
      <c r="E3" s="30">
        <v>7</v>
      </c>
    </row>
    <row r="4" spans="1:5" x14ac:dyDescent="0.3">
      <c r="A4" s="28" t="s">
        <v>7</v>
      </c>
      <c r="B4" s="29">
        <v>7</v>
      </c>
      <c r="C4" s="29">
        <v>7</v>
      </c>
      <c r="D4" s="29">
        <v>7</v>
      </c>
      <c r="E4" s="30">
        <v>7</v>
      </c>
    </row>
    <row r="5" spans="1:5" x14ac:dyDescent="0.3">
      <c r="A5" s="28" t="s">
        <v>8</v>
      </c>
      <c r="B5" s="29">
        <v>3</v>
      </c>
      <c r="C5" s="29">
        <v>4</v>
      </c>
      <c r="D5" s="29">
        <v>4</v>
      </c>
      <c r="E5" s="30">
        <v>3</v>
      </c>
    </row>
    <row r="6" spans="1:5" ht="14.5" thickBot="1" x14ac:dyDescent="0.35">
      <c r="A6" s="31" t="s">
        <v>9</v>
      </c>
      <c r="B6" s="32">
        <v>2</v>
      </c>
      <c r="C6" s="32">
        <v>2</v>
      </c>
      <c r="D6" s="32">
        <v>2</v>
      </c>
      <c r="E6" s="33">
        <v>2</v>
      </c>
    </row>
    <row r="9" spans="1:5" ht="14.5" thickBot="1" x14ac:dyDescent="0.35"/>
    <row r="10" spans="1:5" x14ac:dyDescent="0.3">
      <c r="A10" s="26" t="s">
        <v>135</v>
      </c>
      <c r="B10" s="9" t="s">
        <v>1</v>
      </c>
      <c r="C10" s="9" t="s">
        <v>2</v>
      </c>
      <c r="D10" s="9" t="s">
        <v>3</v>
      </c>
      <c r="E10" s="58" t="s">
        <v>4</v>
      </c>
    </row>
    <row r="11" spans="1:5" x14ac:dyDescent="0.3">
      <c r="A11" s="10" t="s">
        <v>11</v>
      </c>
      <c r="B11" s="15">
        <v>113</v>
      </c>
      <c r="C11" s="15">
        <v>104</v>
      </c>
      <c r="D11" s="15">
        <v>99</v>
      </c>
      <c r="E11" s="69">
        <v>104</v>
      </c>
    </row>
    <row r="12" spans="1:5" x14ac:dyDescent="0.3">
      <c r="A12" s="10" t="s">
        <v>12</v>
      </c>
      <c r="B12" s="15">
        <v>180</v>
      </c>
      <c r="C12" s="15">
        <v>160</v>
      </c>
      <c r="D12" s="15">
        <v>146</v>
      </c>
      <c r="E12" s="69">
        <v>157</v>
      </c>
    </row>
    <row r="13" spans="1:5" x14ac:dyDescent="0.3">
      <c r="A13" s="10" t="s">
        <v>13</v>
      </c>
      <c r="B13" s="23">
        <v>28283.53</v>
      </c>
      <c r="C13" s="23">
        <v>29417.85</v>
      </c>
      <c r="D13" s="23">
        <v>27798.639999999999</v>
      </c>
      <c r="E13" s="68">
        <v>29090.28</v>
      </c>
    </row>
    <row r="14" spans="1:5" x14ac:dyDescent="0.3">
      <c r="A14" s="10" t="s">
        <v>14</v>
      </c>
      <c r="B14" s="23">
        <f>B13*52/B11</f>
        <v>13015.429734513275</v>
      </c>
      <c r="C14" s="23">
        <f>C13*52/C11</f>
        <v>14708.924999999999</v>
      </c>
      <c r="D14" s="23">
        <f>D13*52/D11</f>
        <v>14601.305858585858</v>
      </c>
      <c r="E14" s="68">
        <f>E13*52/E11</f>
        <v>14545.140000000001</v>
      </c>
    </row>
    <row r="15" spans="1:5" x14ac:dyDescent="0.3">
      <c r="A15" s="10" t="s">
        <v>15</v>
      </c>
      <c r="B15" s="23">
        <f>B13*52</f>
        <v>1470743.56</v>
      </c>
      <c r="C15" s="23">
        <f>C13*52</f>
        <v>1529728.2</v>
      </c>
      <c r="D15" s="23">
        <f>D13*52</f>
        <v>1445529.28</v>
      </c>
      <c r="E15" s="68">
        <f>E13*52</f>
        <v>1512694.56</v>
      </c>
    </row>
    <row r="16" spans="1:5" ht="14.5" thickBot="1" x14ac:dyDescent="0.35">
      <c r="A16" s="114" t="s">
        <v>16</v>
      </c>
      <c r="B16" s="24">
        <v>807</v>
      </c>
      <c r="C16" s="24">
        <v>805</v>
      </c>
      <c r="D16" s="24">
        <v>865</v>
      </c>
      <c r="E16" s="70">
        <v>846</v>
      </c>
    </row>
    <row r="17" spans="1:6" x14ac:dyDescent="0.3">
      <c r="A17" s="112" t="s">
        <v>17</v>
      </c>
      <c r="B17" s="46">
        <v>72</v>
      </c>
      <c r="C17" s="46">
        <v>77</v>
      </c>
      <c r="D17" s="46">
        <v>75</v>
      </c>
      <c r="E17" s="141">
        <v>73</v>
      </c>
      <c r="F17" s="51"/>
    </row>
    <row r="18" spans="1:6" x14ac:dyDescent="0.3">
      <c r="A18" s="25" t="s">
        <v>18</v>
      </c>
      <c r="B18" s="15">
        <v>25</v>
      </c>
      <c r="C18" s="15">
        <v>26</v>
      </c>
      <c r="D18" s="15">
        <v>26</v>
      </c>
      <c r="E18" s="86">
        <v>22</v>
      </c>
      <c r="F18" s="93"/>
    </row>
    <row r="19" spans="1:6" x14ac:dyDescent="0.3">
      <c r="A19" s="78" t="s">
        <v>19</v>
      </c>
      <c r="B19" s="122">
        <f>B18/B17</f>
        <v>0.34722222222222221</v>
      </c>
      <c r="C19" s="122">
        <f>C18/C17</f>
        <v>0.33766233766233766</v>
      </c>
      <c r="D19" s="122">
        <f>D18/D17</f>
        <v>0.34666666666666668</v>
      </c>
      <c r="E19" s="185">
        <f>E18/E17</f>
        <v>0.30136986301369861</v>
      </c>
      <c r="F19" s="93"/>
    </row>
    <row r="20" spans="1:6" ht="14.5" thickBot="1" x14ac:dyDescent="0.35">
      <c r="A20" s="34" t="s">
        <v>20</v>
      </c>
      <c r="B20" s="24">
        <v>10</v>
      </c>
      <c r="C20" s="24">
        <v>6</v>
      </c>
      <c r="D20" s="24">
        <v>8</v>
      </c>
      <c r="E20" s="142">
        <v>14</v>
      </c>
      <c r="F20" s="51"/>
    </row>
    <row r="21" spans="1:6" x14ac:dyDescent="0.3">
      <c r="A21" s="112" t="s">
        <v>21</v>
      </c>
      <c r="B21" s="46">
        <v>8</v>
      </c>
      <c r="C21" s="46">
        <v>6</v>
      </c>
      <c r="D21" s="46">
        <v>7</v>
      </c>
      <c r="E21" s="141">
        <v>7</v>
      </c>
      <c r="F21" s="51"/>
    </row>
    <row r="22" spans="1:6" x14ac:dyDescent="0.3">
      <c r="A22" s="25" t="s">
        <v>136</v>
      </c>
      <c r="B22" s="15">
        <v>5</v>
      </c>
      <c r="C22" s="15">
        <v>3</v>
      </c>
      <c r="D22" s="15">
        <v>4</v>
      </c>
      <c r="E22" s="86">
        <v>5</v>
      </c>
      <c r="F22" s="93"/>
    </row>
    <row r="23" spans="1:6" x14ac:dyDescent="0.3">
      <c r="A23" s="25" t="s">
        <v>23</v>
      </c>
      <c r="B23" s="15">
        <v>0</v>
      </c>
      <c r="C23" s="15">
        <v>0</v>
      </c>
      <c r="D23" s="15">
        <v>1</v>
      </c>
      <c r="E23" s="86">
        <v>1</v>
      </c>
      <c r="F23" s="51"/>
    </row>
    <row r="24" spans="1:6" x14ac:dyDescent="0.3">
      <c r="A24" s="25" t="s">
        <v>24</v>
      </c>
      <c r="B24" s="15">
        <v>3</v>
      </c>
      <c r="C24" s="15">
        <v>3</v>
      </c>
      <c r="D24" s="15">
        <v>1</v>
      </c>
      <c r="E24" s="69">
        <v>1</v>
      </c>
      <c r="F24" s="51"/>
    </row>
    <row r="25" spans="1:6" ht="14.5" thickBot="1" x14ac:dyDescent="0.35">
      <c r="A25" s="34" t="s">
        <v>25</v>
      </c>
      <c r="B25" s="143">
        <f>(B24+B23+B21)/(B11-B26)</f>
        <v>0.11827956989247312</v>
      </c>
      <c r="C25" s="143">
        <f>(C24+C23+C21)/(C11-C26)</f>
        <v>9.7826086956521743E-2</v>
      </c>
      <c r="D25" s="143">
        <f>(D24+D23+D21)/(D11-D26)</f>
        <v>9.7826086956521743E-2</v>
      </c>
      <c r="E25" s="184">
        <f t="shared" ref="E25" si="0">(E24+E23+E21)/(E11-E26)</f>
        <v>9.375E-2</v>
      </c>
      <c r="F25" s="51"/>
    </row>
    <row r="26" spans="1:6" ht="14.5" thickBot="1" x14ac:dyDescent="0.35">
      <c r="A26" s="115" t="s">
        <v>26</v>
      </c>
      <c r="B26" s="24">
        <v>20</v>
      </c>
      <c r="C26" s="24">
        <v>12</v>
      </c>
      <c r="D26" s="24">
        <v>7</v>
      </c>
      <c r="E26" s="70">
        <v>8</v>
      </c>
      <c r="F26" s="51"/>
    </row>
    <row r="27" spans="1:6" x14ac:dyDescent="0.3">
      <c r="A27" s="112" t="s">
        <v>27</v>
      </c>
      <c r="B27" s="46">
        <v>60</v>
      </c>
      <c r="C27" s="46">
        <v>66</v>
      </c>
      <c r="D27" s="46">
        <v>65</v>
      </c>
      <c r="E27" s="113">
        <v>69</v>
      </c>
    </row>
    <row r="28" spans="1:6" x14ac:dyDescent="0.3">
      <c r="A28" s="25" t="s">
        <v>28</v>
      </c>
      <c r="B28" s="15">
        <v>22</v>
      </c>
      <c r="C28" s="15">
        <v>20</v>
      </c>
      <c r="D28" s="15">
        <v>13</v>
      </c>
      <c r="E28" s="69">
        <v>15</v>
      </c>
    </row>
    <row r="29" spans="1:6" ht="14.5" thickBot="1" x14ac:dyDescent="0.35">
      <c r="A29" s="34" t="s">
        <v>29</v>
      </c>
      <c r="B29" s="24">
        <v>25</v>
      </c>
      <c r="C29" s="24">
        <v>29</v>
      </c>
      <c r="D29" s="24">
        <v>18</v>
      </c>
      <c r="E29" s="70">
        <v>10</v>
      </c>
    </row>
    <row r="32" spans="1:6" ht="14.5" thickBot="1" x14ac:dyDescent="0.35"/>
    <row r="33" spans="1:6" x14ac:dyDescent="0.3">
      <c r="A33" s="26" t="s">
        <v>30</v>
      </c>
      <c r="B33" s="9" t="s">
        <v>1</v>
      </c>
      <c r="C33" s="9" t="s">
        <v>2</v>
      </c>
      <c r="D33" s="9" t="s">
        <v>3</v>
      </c>
      <c r="E33" s="58" t="s">
        <v>4</v>
      </c>
    </row>
    <row r="34" spans="1:6" x14ac:dyDescent="0.3">
      <c r="A34" s="25" t="s">
        <v>11</v>
      </c>
      <c r="B34" s="15">
        <v>13</v>
      </c>
      <c r="C34" s="15">
        <v>14</v>
      </c>
      <c r="D34" s="15">
        <v>14</v>
      </c>
      <c r="E34" s="69">
        <v>14</v>
      </c>
    </row>
    <row r="35" spans="1:6" x14ac:dyDescent="0.3">
      <c r="A35" s="25" t="s">
        <v>13</v>
      </c>
      <c r="B35" s="23">
        <v>4527.8900000000003</v>
      </c>
      <c r="C35" s="23">
        <v>4797.59</v>
      </c>
      <c r="D35" s="23">
        <v>4271.74</v>
      </c>
      <c r="E35" s="68">
        <v>4318.28</v>
      </c>
    </row>
    <row r="36" spans="1:6" x14ac:dyDescent="0.3">
      <c r="A36" s="25" t="s">
        <v>14</v>
      </c>
      <c r="B36" s="23">
        <f>B35*52/B34</f>
        <v>18111.560000000001</v>
      </c>
      <c r="C36" s="23">
        <f t="shared" ref="C36:E36" si="1">C35*52/C34</f>
        <v>17819.62</v>
      </c>
      <c r="D36" s="23">
        <f t="shared" si="1"/>
        <v>15866.462857142857</v>
      </c>
      <c r="E36" s="68">
        <f t="shared" si="1"/>
        <v>16039.325714285715</v>
      </c>
    </row>
    <row r="37" spans="1:6" x14ac:dyDescent="0.3">
      <c r="A37" s="25" t="s">
        <v>15</v>
      </c>
      <c r="B37" s="23">
        <f>B35*52</f>
        <v>235450.28000000003</v>
      </c>
      <c r="C37" s="23">
        <f t="shared" ref="C37:E37" si="2">C35*52</f>
        <v>249474.68</v>
      </c>
      <c r="D37" s="23">
        <f t="shared" si="2"/>
        <v>222130.47999999998</v>
      </c>
      <c r="E37" s="68">
        <f t="shared" si="2"/>
        <v>224550.56</v>
      </c>
    </row>
    <row r="38" spans="1:6" ht="14.5" thickBot="1" x14ac:dyDescent="0.35">
      <c r="A38" s="34" t="s">
        <v>16</v>
      </c>
      <c r="B38" s="24">
        <v>1427</v>
      </c>
      <c r="C38" s="24">
        <v>1411</v>
      </c>
      <c r="D38" s="24">
        <v>1480</v>
      </c>
      <c r="E38" s="70">
        <v>1564</v>
      </c>
    </row>
    <row r="39" spans="1:6" x14ac:dyDescent="0.3">
      <c r="A39" s="112" t="s">
        <v>31</v>
      </c>
      <c r="B39" s="46">
        <v>6</v>
      </c>
      <c r="C39" s="46">
        <v>6</v>
      </c>
      <c r="D39" s="46">
        <v>8</v>
      </c>
      <c r="E39" s="113">
        <v>8</v>
      </c>
      <c r="F39" s="51"/>
    </row>
    <row r="40" spans="1:6" x14ac:dyDescent="0.3">
      <c r="A40" s="25" t="s">
        <v>32</v>
      </c>
      <c r="B40" s="15">
        <v>5</v>
      </c>
      <c r="C40" s="15">
        <v>5</v>
      </c>
      <c r="D40" s="15">
        <v>5</v>
      </c>
      <c r="E40" s="69">
        <v>6</v>
      </c>
      <c r="F40" s="93"/>
    </row>
    <row r="41" spans="1:6" x14ac:dyDescent="0.3">
      <c r="A41" s="78" t="s">
        <v>19</v>
      </c>
      <c r="B41" s="122">
        <f>B40/B39</f>
        <v>0.83333333333333337</v>
      </c>
      <c r="C41" s="122">
        <f t="shared" ref="C41:D41" si="3">C40/C39</f>
        <v>0.83333333333333337</v>
      </c>
      <c r="D41" s="122">
        <f t="shared" si="3"/>
        <v>0.625</v>
      </c>
      <c r="E41" s="185">
        <f>E40/E39</f>
        <v>0.75</v>
      </c>
      <c r="F41" s="93"/>
    </row>
    <row r="42" spans="1:6" ht="14.5" thickBot="1" x14ac:dyDescent="0.35">
      <c r="A42" s="34" t="s">
        <v>33</v>
      </c>
      <c r="B42" s="24">
        <v>1</v>
      </c>
      <c r="C42" s="24">
        <v>1</v>
      </c>
      <c r="D42" s="24">
        <v>1</v>
      </c>
      <c r="E42" s="70">
        <v>1</v>
      </c>
      <c r="F42" s="51"/>
    </row>
    <row r="43" spans="1:6" x14ac:dyDescent="0.3">
      <c r="A43" s="112" t="s">
        <v>34</v>
      </c>
      <c r="B43" s="46">
        <v>5</v>
      </c>
      <c r="C43" s="46">
        <v>5</v>
      </c>
      <c r="D43" s="46">
        <v>4</v>
      </c>
      <c r="E43" s="113">
        <v>3</v>
      </c>
      <c r="F43" s="51"/>
    </row>
    <row r="44" spans="1:6" x14ac:dyDescent="0.3">
      <c r="A44" s="25" t="s">
        <v>35</v>
      </c>
      <c r="B44" s="15">
        <v>0</v>
      </c>
      <c r="C44" s="15">
        <v>0</v>
      </c>
      <c r="D44" s="15">
        <v>0</v>
      </c>
      <c r="E44" s="69">
        <v>0</v>
      </c>
      <c r="F44" s="93"/>
    </row>
    <row r="45" spans="1:6" x14ac:dyDescent="0.3">
      <c r="A45" s="25" t="s">
        <v>36</v>
      </c>
      <c r="B45" s="15">
        <v>1</v>
      </c>
      <c r="C45" s="15">
        <v>1</v>
      </c>
      <c r="D45" s="15">
        <v>1</v>
      </c>
      <c r="E45" s="69">
        <v>2</v>
      </c>
      <c r="F45" s="51"/>
    </row>
    <row r="46" spans="1:6" x14ac:dyDescent="0.3">
      <c r="A46" s="25" t="s">
        <v>37</v>
      </c>
      <c r="B46" s="15">
        <v>0</v>
      </c>
      <c r="C46" s="15">
        <v>0</v>
      </c>
      <c r="D46" s="15">
        <v>0</v>
      </c>
      <c r="E46" s="69">
        <v>0</v>
      </c>
      <c r="F46" s="51"/>
    </row>
    <row r="47" spans="1:6" ht="14.5" thickBot="1" x14ac:dyDescent="0.35">
      <c r="A47" s="34" t="s">
        <v>25</v>
      </c>
      <c r="B47" s="143">
        <f>(B46+B45+B43)/(B34-B48)</f>
        <v>0.46153846153846156</v>
      </c>
      <c r="C47" s="143">
        <f t="shared" ref="C47:E47" si="4">(C46+C45+C43)/(C34-C48)</f>
        <v>0.46153846153846156</v>
      </c>
      <c r="D47" s="143">
        <f t="shared" si="4"/>
        <v>0.35714285714285715</v>
      </c>
      <c r="E47" s="184">
        <f t="shared" si="4"/>
        <v>0.35714285714285715</v>
      </c>
      <c r="F47" s="51"/>
    </row>
    <row r="48" spans="1:6" ht="14.5" thickBot="1" x14ac:dyDescent="0.35">
      <c r="A48" s="115" t="s">
        <v>26</v>
      </c>
      <c r="B48" s="118">
        <v>0</v>
      </c>
      <c r="C48" s="118">
        <v>1</v>
      </c>
      <c r="D48" s="118">
        <v>0</v>
      </c>
      <c r="E48" s="119">
        <v>0</v>
      </c>
      <c r="F48" s="51"/>
    </row>
    <row r="49" spans="1:8" x14ac:dyDescent="0.3">
      <c r="A49" s="112" t="s">
        <v>27</v>
      </c>
      <c r="B49" s="46">
        <v>38</v>
      </c>
      <c r="C49" s="46">
        <v>42</v>
      </c>
      <c r="D49" s="46">
        <v>52</v>
      </c>
      <c r="E49" s="113">
        <v>46</v>
      </c>
    </row>
    <row r="50" spans="1:8" x14ac:dyDescent="0.3">
      <c r="A50" s="25" t="s">
        <v>28</v>
      </c>
      <c r="B50" s="15">
        <v>0</v>
      </c>
      <c r="C50" s="15">
        <v>1</v>
      </c>
      <c r="D50" s="15">
        <v>2</v>
      </c>
      <c r="E50" s="69">
        <v>1</v>
      </c>
    </row>
    <row r="51" spans="1:8" ht="14.5" thickBot="1" x14ac:dyDescent="0.35">
      <c r="A51" s="34" t="s">
        <v>29</v>
      </c>
      <c r="B51" s="24">
        <v>0</v>
      </c>
      <c r="C51" s="24">
        <v>0</v>
      </c>
      <c r="D51" s="24">
        <v>2</v>
      </c>
      <c r="E51" s="70">
        <v>1</v>
      </c>
    </row>
    <row r="52" spans="1:8" x14ac:dyDescent="0.3">
      <c r="A52" s="16"/>
    </row>
    <row r="53" spans="1:8" x14ac:dyDescent="0.3">
      <c r="A53" s="16"/>
    </row>
    <row r="54" spans="1:8" ht="14.5" thickBot="1" x14ac:dyDescent="0.35"/>
    <row r="55" spans="1:8" x14ac:dyDescent="0.3">
      <c r="A55" s="8" t="s">
        <v>137</v>
      </c>
      <c r="B55" s="9" t="s">
        <v>1</v>
      </c>
      <c r="C55" s="9" t="s">
        <v>2</v>
      </c>
      <c r="D55" s="9" t="s">
        <v>3</v>
      </c>
      <c r="E55" s="58" t="s">
        <v>4</v>
      </c>
    </row>
    <row r="56" spans="1:8" x14ac:dyDescent="0.3">
      <c r="A56" s="25" t="s">
        <v>39</v>
      </c>
      <c r="B56" s="15">
        <v>61</v>
      </c>
      <c r="C56" s="15">
        <v>60</v>
      </c>
      <c r="D56" s="15">
        <v>61</v>
      </c>
      <c r="E56" s="69">
        <v>68</v>
      </c>
    </row>
    <row r="57" spans="1:8" x14ac:dyDescent="0.3">
      <c r="A57" s="25" t="s">
        <v>40</v>
      </c>
      <c r="B57" s="15">
        <v>3</v>
      </c>
      <c r="C57" s="15">
        <v>2</v>
      </c>
      <c r="D57" s="15">
        <v>1</v>
      </c>
      <c r="E57" s="69">
        <v>5</v>
      </c>
    </row>
    <row r="58" spans="1:8" x14ac:dyDescent="0.3">
      <c r="A58" s="25" t="s">
        <v>41</v>
      </c>
      <c r="B58" s="15">
        <v>41</v>
      </c>
      <c r="C58" s="15">
        <v>40</v>
      </c>
      <c r="D58" s="15">
        <v>38</v>
      </c>
      <c r="E58" s="69">
        <v>38</v>
      </c>
    </row>
    <row r="59" spans="1:8" ht="14.5" thickBot="1" x14ac:dyDescent="0.35">
      <c r="A59" s="34" t="s">
        <v>42</v>
      </c>
      <c r="B59" s="24">
        <v>17</v>
      </c>
      <c r="C59" s="24">
        <v>18</v>
      </c>
      <c r="D59" s="24">
        <v>22</v>
      </c>
      <c r="E59" s="70">
        <v>25</v>
      </c>
    </row>
    <row r="60" spans="1:8" x14ac:dyDescent="0.3">
      <c r="A60" s="112" t="s">
        <v>43</v>
      </c>
      <c r="B60" s="46">
        <v>11</v>
      </c>
      <c r="C60" s="46">
        <v>12</v>
      </c>
      <c r="D60" s="46">
        <v>12</v>
      </c>
      <c r="E60" s="113">
        <v>12</v>
      </c>
    </row>
    <row r="61" spans="1:8" x14ac:dyDescent="0.3">
      <c r="A61" s="25" t="s">
        <v>44</v>
      </c>
      <c r="B61" s="23">
        <v>2075.4299999999998</v>
      </c>
      <c r="C61" s="23">
        <v>2426.04</v>
      </c>
      <c r="D61" s="23">
        <v>2443.39</v>
      </c>
      <c r="E61" s="68">
        <v>2457.0300000000002</v>
      </c>
    </row>
    <row r="62" spans="1:8" x14ac:dyDescent="0.3">
      <c r="A62" s="25" t="s">
        <v>14</v>
      </c>
      <c r="B62" s="23">
        <f>B61/B60*52</f>
        <v>9811.1236363636363</v>
      </c>
      <c r="C62" s="23">
        <f t="shared" ref="C62:E62" si="5">C61/C60*52</f>
        <v>10512.84</v>
      </c>
      <c r="D62" s="23">
        <f t="shared" si="5"/>
        <v>10588.023333333333</v>
      </c>
      <c r="E62" s="68">
        <f t="shared" si="5"/>
        <v>10647.130000000001</v>
      </c>
    </row>
    <row r="63" spans="1:8" ht="14.5" thickBot="1" x14ac:dyDescent="0.35">
      <c r="A63" s="34" t="s">
        <v>15</v>
      </c>
      <c r="B63" s="120">
        <f>B61*52</f>
        <v>107922.35999999999</v>
      </c>
      <c r="C63" s="120">
        <f t="shared" ref="C63:E63" si="6">C61*52</f>
        <v>126154.08</v>
      </c>
      <c r="D63" s="120">
        <f t="shared" si="6"/>
        <v>127056.28</v>
      </c>
      <c r="E63" s="121">
        <f t="shared" si="6"/>
        <v>127765.56000000001</v>
      </c>
      <c r="H63" s="173"/>
    </row>
    <row r="64" spans="1:8" x14ac:dyDescent="0.3">
      <c r="A64" s="112" t="s">
        <v>45</v>
      </c>
      <c r="B64" s="46">
        <v>0</v>
      </c>
      <c r="C64" s="46">
        <v>1</v>
      </c>
      <c r="D64" s="46">
        <v>0</v>
      </c>
      <c r="E64" s="113">
        <v>0</v>
      </c>
    </row>
    <row r="65" spans="1:6" x14ac:dyDescent="0.3">
      <c r="A65" s="78" t="s">
        <v>46</v>
      </c>
      <c r="B65" s="15">
        <v>4</v>
      </c>
      <c r="C65" s="15">
        <v>1</v>
      </c>
      <c r="D65" s="15">
        <v>4</v>
      </c>
      <c r="E65" s="69">
        <v>9</v>
      </c>
    </row>
    <row r="66" spans="1:6" ht="14.5" thickBot="1" x14ac:dyDescent="0.35">
      <c r="A66" s="34" t="s">
        <v>47</v>
      </c>
      <c r="B66" s="24">
        <v>3</v>
      </c>
      <c r="C66" s="24">
        <v>1</v>
      </c>
      <c r="D66" s="24">
        <v>0</v>
      </c>
      <c r="E66" s="70">
        <v>1</v>
      </c>
    </row>
    <row r="67" spans="1:6" x14ac:dyDescent="0.3">
      <c r="A67" s="16"/>
      <c r="C67" s="17"/>
    </row>
    <row r="68" spans="1:6" x14ac:dyDescent="0.3">
      <c r="A68" s="16"/>
      <c r="C68" s="17"/>
    </row>
    <row r="69" spans="1:6" x14ac:dyDescent="0.3">
      <c r="A69" s="16"/>
      <c r="C69" s="17"/>
    </row>
    <row r="70" spans="1:6" x14ac:dyDescent="0.3">
      <c r="A70" s="16"/>
      <c r="C70" s="17"/>
    </row>
    <row r="71" spans="1:6" x14ac:dyDescent="0.3">
      <c r="A71" s="16"/>
      <c r="C71" s="17"/>
    </row>
    <row r="72" spans="1:6" x14ac:dyDescent="0.3">
      <c r="A72" s="16"/>
      <c r="C72" s="17"/>
    </row>
    <row r="73" spans="1:6" s="1" customFormat="1" ht="14.5" thickBot="1" x14ac:dyDescent="0.35">
      <c r="A73" s="11"/>
    </row>
    <row r="74" spans="1:6" s="1" customFormat="1" x14ac:dyDescent="0.3">
      <c r="A74" s="190" t="s">
        <v>48</v>
      </c>
      <c r="B74" s="73" t="s">
        <v>49</v>
      </c>
      <c r="C74" s="191" t="s">
        <v>50</v>
      </c>
    </row>
    <row r="75" spans="1:6" s="1" customFormat="1" x14ac:dyDescent="0.3">
      <c r="A75" s="10" t="s">
        <v>51</v>
      </c>
      <c r="B75" s="123">
        <v>1</v>
      </c>
      <c r="C75" s="171">
        <f>B75/82</f>
        <v>1.2195121951219513E-2</v>
      </c>
    </row>
    <row r="76" spans="1:6" s="1" customFormat="1" x14ac:dyDescent="0.3">
      <c r="A76" s="10" t="s">
        <v>52</v>
      </c>
      <c r="B76" s="123">
        <v>0</v>
      </c>
      <c r="C76" s="171">
        <f t="shared" ref="C76:C81" si="7">B76/82</f>
        <v>0</v>
      </c>
    </row>
    <row r="77" spans="1:6" s="1" customFormat="1" x14ac:dyDescent="0.3">
      <c r="A77" s="10" t="s">
        <v>53</v>
      </c>
      <c r="B77" s="123">
        <v>0</v>
      </c>
      <c r="C77" s="171">
        <f t="shared" si="7"/>
        <v>0</v>
      </c>
    </row>
    <row r="78" spans="1:6" s="1" customFormat="1" x14ac:dyDescent="0.3">
      <c r="A78" s="10" t="s">
        <v>54</v>
      </c>
      <c r="B78" s="123">
        <v>58</v>
      </c>
      <c r="C78" s="171">
        <f t="shared" si="7"/>
        <v>0.70731707317073167</v>
      </c>
    </row>
    <row r="79" spans="1:6" s="1" customFormat="1" x14ac:dyDescent="0.3">
      <c r="A79" s="10" t="s">
        <v>55</v>
      </c>
      <c r="B79" s="123">
        <v>11</v>
      </c>
      <c r="C79" s="171">
        <v>0.14000000000000001</v>
      </c>
      <c r="F79" s="84"/>
    </row>
    <row r="80" spans="1:6" s="1" customFormat="1" x14ac:dyDescent="0.3">
      <c r="A80" s="10" t="s">
        <v>56</v>
      </c>
      <c r="B80" s="123">
        <v>1</v>
      </c>
      <c r="C80" s="171">
        <f t="shared" si="7"/>
        <v>1.2195121951219513E-2</v>
      </c>
    </row>
    <row r="81" spans="1:4" s="1" customFormat="1" x14ac:dyDescent="0.3">
      <c r="A81" s="10" t="s">
        <v>57</v>
      </c>
      <c r="B81" s="123">
        <v>11</v>
      </c>
      <c r="C81" s="171">
        <f t="shared" si="7"/>
        <v>0.13414634146341464</v>
      </c>
    </row>
    <row r="82" spans="1:4" s="1" customFormat="1" ht="14.5" thickBot="1" x14ac:dyDescent="0.35">
      <c r="A82" s="192" t="s">
        <v>49</v>
      </c>
      <c r="B82" s="193">
        <f>SUM(B75:B81)</f>
        <v>82</v>
      </c>
      <c r="C82" s="194">
        <f>SUM(C75:C81)</f>
        <v>1.0058536585365854</v>
      </c>
    </row>
    <row r="83" spans="1:4" s="1" customFormat="1" x14ac:dyDescent="0.3">
      <c r="A83" s="174"/>
      <c r="B83" s="174"/>
      <c r="C83" s="175"/>
    </row>
    <row r="84" spans="1:4" s="1" customFormat="1" ht="14.5" thickBot="1" x14ac:dyDescent="0.35">
      <c r="A84" s="174"/>
      <c r="B84" s="174"/>
      <c r="C84" s="175"/>
    </row>
    <row r="85" spans="1:4" s="1" customFormat="1" ht="14.25" customHeight="1" x14ac:dyDescent="0.3">
      <c r="A85" s="238" t="s">
        <v>58</v>
      </c>
      <c r="B85" s="239" t="s">
        <v>49</v>
      </c>
      <c r="C85" s="240" t="s">
        <v>50</v>
      </c>
      <c r="D85" s="80"/>
    </row>
    <row r="86" spans="1:4" s="1" customFormat="1" ht="14.25" customHeight="1" x14ac:dyDescent="0.3">
      <c r="A86" s="195" t="s">
        <v>59</v>
      </c>
      <c r="B86" s="123">
        <v>3</v>
      </c>
      <c r="C86" s="196">
        <f>B86/131</f>
        <v>2.2900763358778626E-2</v>
      </c>
      <c r="D86" s="80"/>
    </row>
    <row r="87" spans="1:4" s="1" customFormat="1" ht="14.25" customHeight="1" x14ac:dyDescent="0.3">
      <c r="A87" s="195" t="s">
        <v>60</v>
      </c>
      <c r="B87" s="123">
        <v>1</v>
      </c>
      <c r="C87" s="196">
        <f t="shared" ref="C87:C90" si="8">B87/131</f>
        <v>7.6335877862595417E-3</v>
      </c>
      <c r="D87" s="80"/>
    </row>
    <row r="88" spans="1:4" s="1" customFormat="1" ht="14.25" customHeight="1" x14ac:dyDescent="0.3">
      <c r="A88" s="195" t="s">
        <v>61</v>
      </c>
      <c r="B88" s="123">
        <v>0</v>
      </c>
      <c r="C88" s="196">
        <f t="shared" si="8"/>
        <v>0</v>
      </c>
      <c r="D88" s="80"/>
    </row>
    <row r="89" spans="1:4" s="1" customFormat="1" ht="14.25" customHeight="1" x14ac:dyDescent="0.3">
      <c r="A89" s="195" t="s">
        <v>62</v>
      </c>
      <c r="B89" s="123">
        <v>3</v>
      </c>
      <c r="C89" s="196">
        <f t="shared" si="8"/>
        <v>2.2900763358778626E-2</v>
      </c>
      <c r="D89" s="80"/>
    </row>
    <row r="90" spans="1:4" s="1" customFormat="1" ht="14.25" customHeight="1" x14ac:dyDescent="0.3">
      <c r="A90" s="195" t="s">
        <v>63</v>
      </c>
      <c r="B90" s="123">
        <v>4</v>
      </c>
      <c r="C90" s="196">
        <f t="shared" si="8"/>
        <v>3.0534351145038167E-2</v>
      </c>
      <c r="D90" s="80"/>
    </row>
    <row r="91" spans="1:4" s="1" customFormat="1" ht="14.5" thickBot="1" x14ac:dyDescent="0.35">
      <c r="A91" s="197" t="s">
        <v>49</v>
      </c>
      <c r="B91" s="198">
        <f>SUM(B86:B90)</f>
        <v>11</v>
      </c>
      <c r="C91" s="218">
        <f>SUM(C86:C90)</f>
        <v>8.3969465648854963E-2</v>
      </c>
      <c r="D91" s="17"/>
    </row>
    <row r="92" spans="1:4" s="1" customFormat="1" x14ac:dyDescent="0.3">
      <c r="A92" s="176"/>
      <c r="B92" s="177"/>
      <c r="C92" s="178"/>
      <c r="D92" s="17"/>
    </row>
    <row r="93" spans="1:4" s="1" customFormat="1" x14ac:dyDescent="0.3">
      <c r="A93" s="176"/>
      <c r="B93" s="177"/>
      <c r="C93" s="178"/>
      <c r="D93" s="17"/>
    </row>
    <row r="94" spans="1:4" s="1" customFormat="1" ht="14.5" thickBot="1" x14ac:dyDescent="0.35">
      <c r="A94" s="176"/>
      <c r="B94" s="177"/>
      <c r="C94" s="178"/>
      <c r="D94" s="17"/>
    </row>
    <row r="95" spans="1:4" s="1" customFormat="1" x14ac:dyDescent="0.3">
      <c r="A95" s="201" t="s">
        <v>64</v>
      </c>
      <c r="B95" s="202" t="s">
        <v>49</v>
      </c>
      <c r="C95" s="203" t="s">
        <v>50</v>
      </c>
      <c r="D95" s="2"/>
    </row>
    <row r="96" spans="1:4" s="1" customFormat="1" x14ac:dyDescent="0.3">
      <c r="A96" s="10" t="s">
        <v>51</v>
      </c>
      <c r="B96" s="123">
        <v>0</v>
      </c>
      <c r="C96" s="171">
        <f>B96/3</f>
        <v>0</v>
      </c>
      <c r="D96" s="2"/>
    </row>
    <row r="97" spans="1:4" s="1" customFormat="1" x14ac:dyDescent="0.3">
      <c r="A97" s="204" t="s">
        <v>52</v>
      </c>
      <c r="B97" s="123">
        <v>0</v>
      </c>
      <c r="C97" s="171">
        <f t="shared" ref="C97:C102" si="9">B97/3</f>
        <v>0</v>
      </c>
      <c r="D97" s="2"/>
    </row>
    <row r="98" spans="1:4" s="1" customFormat="1" x14ac:dyDescent="0.3">
      <c r="A98" s="204" t="s">
        <v>53</v>
      </c>
      <c r="B98" s="123">
        <v>0</v>
      </c>
      <c r="C98" s="171">
        <f t="shared" si="9"/>
        <v>0</v>
      </c>
      <c r="D98" s="2"/>
    </row>
    <row r="99" spans="1:4" s="1" customFormat="1" x14ac:dyDescent="0.3">
      <c r="A99" s="204" t="s">
        <v>54</v>
      </c>
      <c r="B99" s="123">
        <v>1</v>
      </c>
      <c r="C99" s="171">
        <f t="shared" si="9"/>
        <v>0.33333333333333331</v>
      </c>
      <c r="D99" s="2"/>
    </row>
    <row r="100" spans="1:4" s="1" customFormat="1" x14ac:dyDescent="0.3">
      <c r="A100" s="204" t="s">
        <v>55</v>
      </c>
      <c r="B100" s="123">
        <v>2</v>
      </c>
      <c r="C100" s="171">
        <f t="shared" si="9"/>
        <v>0.66666666666666663</v>
      </c>
      <c r="D100" s="2"/>
    </row>
    <row r="101" spans="1:4" s="1" customFormat="1" x14ac:dyDescent="0.3">
      <c r="A101" s="204" t="s">
        <v>56</v>
      </c>
      <c r="B101" s="123">
        <v>0</v>
      </c>
      <c r="C101" s="171">
        <f t="shared" si="9"/>
        <v>0</v>
      </c>
      <c r="D101" s="2"/>
    </row>
    <row r="102" spans="1:4" s="1" customFormat="1" x14ac:dyDescent="0.3">
      <c r="A102" s="204" t="s">
        <v>57</v>
      </c>
      <c r="B102" s="123">
        <v>0</v>
      </c>
      <c r="C102" s="171">
        <f t="shared" si="9"/>
        <v>0</v>
      </c>
      <c r="D102" s="2"/>
    </row>
    <row r="103" spans="1:4" s="1" customFormat="1" ht="14.5" thickBot="1" x14ac:dyDescent="0.35">
      <c r="A103" s="205" t="s">
        <v>49</v>
      </c>
      <c r="B103" s="206">
        <f>SUM(B96:B102)</f>
        <v>3</v>
      </c>
      <c r="C103" s="217">
        <f>SUM(C96:C102)</f>
        <v>1</v>
      </c>
      <c r="D103" s="2"/>
    </row>
    <row r="104" spans="1:4" s="1" customFormat="1" x14ac:dyDescent="0.3">
      <c r="A104" s="179"/>
      <c r="B104" s="179"/>
      <c r="C104" s="180"/>
      <c r="D104" s="181"/>
    </row>
    <row r="105" spans="1:4" s="1" customFormat="1" ht="14.5" thickBot="1" x14ac:dyDescent="0.35">
      <c r="A105" s="179"/>
      <c r="B105" s="179"/>
      <c r="C105" s="180"/>
      <c r="D105" s="181"/>
    </row>
    <row r="106" spans="1:4" s="1" customFormat="1" x14ac:dyDescent="0.3">
      <c r="A106" s="235" t="s">
        <v>65</v>
      </c>
      <c r="B106" s="236" t="s">
        <v>49</v>
      </c>
      <c r="C106" s="237" t="s">
        <v>50</v>
      </c>
      <c r="D106" s="2"/>
    </row>
    <row r="107" spans="1:4" s="1" customFormat="1" x14ac:dyDescent="0.3">
      <c r="A107" s="210" t="s">
        <v>59</v>
      </c>
      <c r="B107" s="123">
        <v>0</v>
      </c>
      <c r="C107" s="171">
        <f t="shared" ref="C107:C110" si="10">B107/1</f>
        <v>0</v>
      </c>
      <c r="D107" s="2"/>
    </row>
    <row r="108" spans="1:4" s="1" customFormat="1" x14ac:dyDescent="0.3">
      <c r="A108" s="212" t="s">
        <v>60</v>
      </c>
      <c r="B108" s="123">
        <v>0</v>
      </c>
      <c r="C108" s="171">
        <f t="shared" si="10"/>
        <v>0</v>
      </c>
      <c r="D108" s="2"/>
    </row>
    <row r="109" spans="1:4" s="1" customFormat="1" x14ac:dyDescent="0.3">
      <c r="A109" s="212" t="s">
        <v>61</v>
      </c>
      <c r="B109" s="123">
        <v>0</v>
      </c>
      <c r="C109" s="171">
        <f t="shared" si="10"/>
        <v>0</v>
      </c>
      <c r="D109" s="2"/>
    </row>
    <row r="110" spans="1:4" s="1" customFormat="1" x14ac:dyDescent="0.3">
      <c r="A110" s="212" t="s">
        <v>62</v>
      </c>
      <c r="B110" s="123">
        <v>0</v>
      </c>
      <c r="C110" s="171">
        <f t="shared" si="10"/>
        <v>0</v>
      </c>
      <c r="D110" s="2"/>
    </row>
    <row r="111" spans="1:4" s="1" customFormat="1" x14ac:dyDescent="0.3">
      <c r="A111" s="212" t="s">
        <v>63</v>
      </c>
      <c r="B111" s="123">
        <v>0</v>
      </c>
      <c r="C111" s="171">
        <f>B111/1</f>
        <v>0</v>
      </c>
      <c r="D111" s="2"/>
    </row>
    <row r="112" spans="1:4" s="1" customFormat="1" ht="14.5" thickBot="1" x14ac:dyDescent="0.35">
      <c r="A112" s="214" t="s">
        <v>49</v>
      </c>
      <c r="B112" s="206">
        <f>SUM(B107:B111)</f>
        <v>0</v>
      </c>
      <c r="C112" s="215">
        <f>SUM(C107:C111)</f>
        <v>0</v>
      </c>
      <c r="D112" s="2"/>
    </row>
    <row r="113" spans="1:8" s="1" customFormat="1" x14ac:dyDescent="0.3">
      <c r="A113" s="13"/>
      <c r="D113" s="2"/>
    </row>
    <row r="114" spans="1:8" s="1" customFormat="1" x14ac:dyDescent="0.3">
      <c r="A114" s="13"/>
      <c r="D114" s="2"/>
    </row>
    <row r="115" spans="1:8" x14ac:dyDescent="0.3">
      <c r="A115" s="248" t="s">
        <v>66</v>
      </c>
    </row>
    <row r="116" spans="1:8" ht="14.5" thickBot="1" x14ac:dyDescent="0.35">
      <c r="A116" s="16"/>
    </row>
    <row r="117" spans="1:8" s="1" customFormat="1" ht="14.25" customHeight="1" x14ac:dyDescent="0.3">
      <c r="A117" s="49" t="s">
        <v>67</v>
      </c>
      <c r="B117" s="73" t="s">
        <v>68</v>
      </c>
      <c r="C117" s="79" t="s">
        <v>49</v>
      </c>
      <c r="D117" s="74" t="s">
        <v>50</v>
      </c>
      <c r="F117" s="163" t="s">
        <v>69</v>
      </c>
      <c r="G117" s="164" t="s">
        <v>70</v>
      </c>
      <c r="H117" s="165" t="s">
        <v>50</v>
      </c>
    </row>
    <row r="118" spans="1:8" x14ac:dyDescent="0.3">
      <c r="A118" s="25" t="s">
        <v>71</v>
      </c>
      <c r="B118" s="15" t="s">
        <v>72</v>
      </c>
      <c r="C118" s="15">
        <v>6</v>
      </c>
      <c r="D118" s="171">
        <f>C118/96</f>
        <v>6.25E-2</v>
      </c>
      <c r="E118" s="45"/>
      <c r="F118" s="25" t="s">
        <v>72</v>
      </c>
      <c r="G118" s="15">
        <v>19</v>
      </c>
      <c r="H118" s="171">
        <f>G118/96</f>
        <v>0.19791666666666666</v>
      </c>
    </row>
    <row r="119" spans="1:8" x14ac:dyDescent="0.3">
      <c r="A119" s="25" t="s">
        <v>75</v>
      </c>
      <c r="B119" s="15" t="s">
        <v>72</v>
      </c>
      <c r="C119" s="15">
        <v>11</v>
      </c>
      <c r="D119" s="171">
        <f t="shared" ref="D119:D136" si="11">C119/96</f>
        <v>0.11458333333333333</v>
      </c>
      <c r="E119" s="45"/>
      <c r="F119" s="25" t="s">
        <v>76</v>
      </c>
      <c r="G119" s="15">
        <v>9</v>
      </c>
      <c r="H119" s="171">
        <f>G119/96</f>
        <v>9.375E-2</v>
      </c>
    </row>
    <row r="120" spans="1:8" x14ac:dyDescent="0.3">
      <c r="A120" s="25" t="s">
        <v>77</v>
      </c>
      <c r="B120" s="15" t="s">
        <v>72</v>
      </c>
      <c r="C120" s="15">
        <v>2</v>
      </c>
      <c r="D120" s="171">
        <f t="shared" si="11"/>
        <v>2.0833333333333332E-2</v>
      </c>
      <c r="E120" s="45"/>
      <c r="F120" s="25" t="s">
        <v>78</v>
      </c>
      <c r="G120" s="15">
        <v>8</v>
      </c>
      <c r="H120" s="171">
        <f>G120/96</f>
        <v>8.3333333333333329E-2</v>
      </c>
    </row>
    <row r="121" spans="1:8" x14ac:dyDescent="0.3">
      <c r="A121" s="25" t="s">
        <v>87</v>
      </c>
      <c r="B121" s="15" t="s">
        <v>76</v>
      </c>
      <c r="C121" s="15">
        <v>1</v>
      </c>
      <c r="D121" s="171">
        <f t="shared" si="11"/>
        <v>1.0416666666666666E-2</v>
      </c>
      <c r="E121" s="45"/>
      <c r="F121" s="25" t="s">
        <v>79</v>
      </c>
      <c r="G121" s="15">
        <v>14</v>
      </c>
      <c r="H121" s="171">
        <f>G121/96</f>
        <v>0.14583333333333334</v>
      </c>
    </row>
    <row r="122" spans="1:8" ht="14.5" thickBot="1" x14ac:dyDescent="0.35">
      <c r="A122" s="25" t="s">
        <v>89</v>
      </c>
      <c r="B122" s="15" t="s">
        <v>76</v>
      </c>
      <c r="C122" s="15">
        <v>1</v>
      </c>
      <c r="D122" s="171">
        <f t="shared" si="11"/>
        <v>1.0416666666666666E-2</v>
      </c>
      <c r="E122" s="45"/>
      <c r="F122" s="34" t="s">
        <v>81</v>
      </c>
      <c r="G122" s="24">
        <v>46</v>
      </c>
      <c r="H122" s="228">
        <f>G122/96</f>
        <v>0.47916666666666669</v>
      </c>
    </row>
    <row r="123" spans="1:8" x14ac:dyDescent="0.3">
      <c r="A123" s="25" t="s">
        <v>90</v>
      </c>
      <c r="B123" s="15" t="s">
        <v>76</v>
      </c>
      <c r="C123" s="15">
        <v>5</v>
      </c>
      <c r="D123" s="171">
        <f t="shared" si="11"/>
        <v>5.2083333333333336E-2</v>
      </c>
      <c r="E123" s="45"/>
      <c r="F123" s="37"/>
      <c r="H123" s="17"/>
    </row>
    <row r="124" spans="1:8" x14ac:dyDescent="0.3">
      <c r="A124" s="25" t="s">
        <v>92</v>
      </c>
      <c r="B124" s="15" t="s">
        <v>76</v>
      </c>
      <c r="C124" s="15">
        <v>1</v>
      </c>
      <c r="D124" s="171">
        <f t="shared" si="11"/>
        <v>1.0416666666666666E-2</v>
      </c>
      <c r="E124" s="45"/>
    </row>
    <row r="125" spans="1:8" x14ac:dyDescent="0.3">
      <c r="A125" s="25" t="s">
        <v>93</v>
      </c>
      <c r="B125" s="15" t="s">
        <v>76</v>
      </c>
      <c r="C125" s="15">
        <v>1</v>
      </c>
      <c r="D125" s="171">
        <f t="shared" si="11"/>
        <v>1.0416666666666666E-2</v>
      </c>
      <c r="E125" s="45"/>
    </row>
    <row r="126" spans="1:8" x14ac:dyDescent="0.3">
      <c r="A126" s="25" t="s">
        <v>94</v>
      </c>
      <c r="B126" s="15" t="s">
        <v>78</v>
      </c>
      <c r="C126" s="15">
        <v>1</v>
      </c>
      <c r="D126" s="171">
        <f t="shared" si="11"/>
        <v>1.0416666666666666E-2</v>
      </c>
    </row>
    <row r="127" spans="1:8" x14ac:dyDescent="0.3">
      <c r="A127" s="25" t="s">
        <v>95</v>
      </c>
      <c r="B127" s="15" t="s">
        <v>78</v>
      </c>
      <c r="C127" s="15">
        <v>1</v>
      </c>
      <c r="D127" s="171">
        <f t="shared" si="11"/>
        <v>1.0416666666666666E-2</v>
      </c>
    </row>
    <row r="128" spans="1:8" x14ac:dyDescent="0.3">
      <c r="A128" s="25" t="s">
        <v>96</v>
      </c>
      <c r="B128" s="15" t="s">
        <v>78</v>
      </c>
      <c r="C128" s="15">
        <v>6</v>
      </c>
      <c r="D128" s="171">
        <f t="shared" si="11"/>
        <v>6.25E-2</v>
      </c>
    </row>
    <row r="129" spans="1:8" x14ac:dyDescent="0.3">
      <c r="A129" s="25" t="s">
        <v>97</v>
      </c>
      <c r="B129" s="15" t="s">
        <v>79</v>
      </c>
      <c r="C129" s="15">
        <v>3</v>
      </c>
      <c r="D129" s="171">
        <f t="shared" si="11"/>
        <v>3.125E-2</v>
      </c>
    </row>
    <row r="130" spans="1:8" x14ac:dyDescent="0.3">
      <c r="A130" s="25" t="s">
        <v>99</v>
      </c>
      <c r="B130" s="15" t="s">
        <v>79</v>
      </c>
      <c r="C130" s="15">
        <v>1</v>
      </c>
      <c r="D130" s="171">
        <f t="shared" si="11"/>
        <v>1.0416666666666666E-2</v>
      </c>
    </row>
    <row r="131" spans="1:8" x14ac:dyDescent="0.3">
      <c r="A131" s="25" t="s">
        <v>100</v>
      </c>
      <c r="B131" s="15" t="s">
        <v>79</v>
      </c>
      <c r="C131" s="15">
        <v>7</v>
      </c>
      <c r="D131" s="171">
        <f t="shared" si="11"/>
        <v>7.2916666666666671E-2</v>
      </c>
    </row>
    <row r="132" spans="1:8" x14ac:dyDescent="0.3">
      <c r="A132" s="25" t="s">
        <v>101</v>
      </c>
      <c r="B132" s="15" t="s">
        <v>79</v>
      </c>
      <c r="C132" s="15">
        <v>2</v>
      </c>
      <c r="D132" s="171">
        <f t="shared" si="11"/>
        <v>2.0833333333333332E-2</v>
      </c>
    </row>
    <row r="133" spans="1:8" x14ac:dyDescent="0.3">
      <c r="A133" s="25" t="s">
        <v>102</v>
      </c>
      <c r="B133" s="15" t="s">
        <v>79</v>
      </c>
      <c r="C133" s="15">
        <v>1</v>
      </c>
      <c r="D133" s="171">
        <f t="shared" si="11"/>
        <v>1.0416666666666666E-2</v>
      </c>
    </row>
    <row r="134" spans="1:8" x14ac:dyDescent="0.3">
      <c r="A134" s="25" t="s">
        <v>106</v>
      </c>
      <c r="B134" s="15" t="s">
        <v>81</v>
      </c>
      <c r="C134" s="15">
        <v>2</v>
      </c>
      <c r="D134" s="171">
        <f t="shared" si="11"/>
        <v>2.0833333333333332E-2</v>
      </c>
    </row>
    <row r="135" spans="1:8" x14ac:dyDescent="0.3">
      <c r="A135" s="25" t="s">
        <v>107</v>
      </c>
      <c r="B135" s="15" t="s">
        <v>81</v>
      </c>
      <c r="C135" s="15">
        <v>42</v>
      </c>
      <c r="D135" s="171">
        <f t="shared" si="11"/>
        <v>0.4375</v>
      </c>
    </row>
    <row r="136" spans="1:8" x14ac:dyDescent="0.3">
      <c r="A136" s="25" t="s">
        <v>108</v>
      </c>
      <c r="B136" s="15" t="s">
        <v>81</v>
      </c>
      <c r="C136" s="15">
        <v>2</v>
      </c>
      <c r="D136" s="171">
        <f t="shared" si="11"/>
        <v>2.0833333333333332E-2</v>
      </c>
    </row>
    <row r="137" spans="1:8" ht="14.5" thickBot="1" x14ac:dyDescent="0.35">
      <c r="A137" s="34" t="s">
        <v>109</v>
      </c>
      <c r="B137" s="24" t="s">
        <v>110</v>
      </c>
      <c r="C137" s="24">
        <v>8</v>
      </c>
      <c r="D137" s="169" t="s">
        <v>111</v>
      </c>
    </row>
    <row r="138" spans="1:8" x14ac:dyDescent="0.3">
      <c r="A138" s="104"/>
      <c r="B138" s="37"/>
      <c r="C138" s="37"/>
      <c r="D138" s="219"/>
    </row>
    <row r="139" spans="1:8" x14ac:dyDescent="0.3">
      <c r="A139" s="104"/>
    </row>
    <row r="140" spans="1:8" x14ac:dyDescent="0.3">
      <c r="A140" s="104"/>
    </row>
    <row r="141" spans="1:8" x14ac:dyDescent="0.3">
      <c r="A141" s="104"/>
    </row>
    <row r="142" spans="1:8" x14ac:dyDescent="0.3">
      <c r="A142" s="104"/>
    </row>
    <row r="143" spans="1:8" ht="14.5" thickBot="1" x14ac:dyDescent="0.35">
      <c r="A143" s="104"/>
      <c r="C143" s="14"/>
      <c r="D143" s="14"/>
    </row>
    <row r="144" spans="1:8" s="1" customFormat="1" x14ac:dyDescent="0.3">
      <c r="A144" s="8" t="s">
        <v>112</v>
      </c>
      <c r="B144" s="73" t="s">
        <v>68</v>
      </c>
      <c r="C144" s="9" t="s">
        <v>49</v>
      </c>
      <c r="D144" s="58" t="s">
        <v>50</v>
      </c>
      <c r="E144" s="88"/>
      <c r="F144" s="163" t="s">
        <v>113</v>
      </c>
      <c r="G144" s="9" t="s">
        <v>114</v>
      </c>
      <c r="H144" s="58" t="s">
        <v>50</v>
      </c>
    </row>
    <row r="145" spans="1:8" x14ac:dyDescent="0.3">
      <c r="A145" s="25" t="s">
        <v>71</v>
      </c>
      <c r="B145" s="15" t="s">
        <v>72</v>
      </c>
      <c r="C145" s="15">
        <v>2</v>
      </c>
      <c r="D145" s="171">
        <f>C145/14</f>
        <v>0.14285714285714285</v>
      </c>
      <c r="E145" s="45"/>
      <c r="F145" s="25" t="s">
        <v>72</v>
      </c>
      <c r="G145" s="15">
        <v>3</v>
      </c>
      <c r="H145" s="171">
        <v>0.22</v>
      </c>
    </row>
    <row r="146" spans="1:8" x14ac:dyDescent="0.3">
      <c r="A146" s="25" t="s">
        <v>75</v>
      </c>
      <c r="B146" s="15" t="s">
        <v>72</v>
      </c>
      <c r="C146" s="15">
        <v>1</v>
      </c>
      <c r="D146" s="171">
        <f t="shared" ref="D146:D154" si="12">C146/14</f>
        <v>7.1428571428571425E-2</v>
      </c>
      <c r="E146" s="45"/>
      <c r="F146" s="25" t="s">
        <v>76</v>
      </c>
      <c r="G146" s="15">
        <v>5</v>
      </c>
      <c r="H146" s="171">
        <f>G146/14</f>
        <v>0.35714285714285715</v>
      </c>
    </row>
    <row r="147" spans="1:8" x14ac:dyDescent="0.3">
      <c r="A147" s="25" t="s">
        <v>115</v>
      </c>
      <c r="B147" s="15" t="s">
        <v>76</v>
      </c>
      <c r="C147" s="15">
        <v>1</v>
      </c>
      <c r="D147" s="171">
        <f t="shared" si="12"/>
        <v>7.1428571428571425E-2</v>
      </c>
      <c r="E147" s="45"/>
      <c r="F147" s="25" t="s">
        <v>78</v>
      </c>
      <c r="G147" s="15">
        <v>2</v>
      </c>
      <c r="H147" s="171">
        <f>G147/14</f>
        <v>0.14285714285714285</v>
      </c>
    </row>
    <row r="148" spans="1:8" x14ac:dyDescent="0.3">
      <c r="A148" s="25" t="s">
        <v>85</v>
      </c>
      <c r="B148" s="15" t="s">
        <v>76</v>
      </c>
      <c r="C148" s="15">
        <v>1</v>
      </c>
      <c r="D148" s="171">
        <f t="shared" si="12"/>
        <v>7.1428571428571425E-2</v>
      </c>
      <c r="E148" s="45"/>
      <c r="F148" s="25" t="s">
        <v>79</v>
      </c>
      <c r="G148" s="15">
        <v>1</v>
      </c>
      <c r="H148" s="171">
        <f>G148/14</f>
        <v>7.1428571428571425E-2</v>
      </c>
    </row>
    <row r="149" spans="1:8" ht="14.5" thickBot="1" x14ac:dyDescent="0.35">
      <c r="A149" s="25" t="s">
        <v>91</v>
      </c>
      <c r="B149" s="15" t="s">
        <v>76</v>
      </c>
      <c r="C149" s="15">
        <v>1</v>
      </c>
      <c r="D149" s="171">
        <f t="shared" si="12"/>
        <v>7.1428571428571425E-2</v>
      </c>
      <c r="E149" s="45"/>
      <c r="F149" s="34" t="s">
        <v>81</v>
      </c>
      <c r="G149" s="24">
        <v>3</v>
      </c>
      <c r="H149" s="228">
        <f>G149/14</f>
        <v>0.21428571428571427</v>
      </c>
    </row>
    <row r="150" spans="1:8" x14ac:dyDescent="0.3">
      <c r="A150" s="25" t="s">
        <v>93</v>
      </c>
      <c r="B150" s="15" t="s">
        <v>76</v>
      </c>
      <c r="C150" s="15">
        <v>2</v>
      </c>
      <c r="D150" s="171">
        <f t="shared" si="12"/>
        <v>0.14285714285714285</v>
      </c>
      <c r="E150" s="45"/>
      <c r="F150" s="37"/>
      <c r="H150" s="17"/>
    </row>
    <row r="151" spans="1:8" x14ac:dyDescent="0.3">
      <c r="A151" s="25" t="s">
        <v>96</v>
      </c>
      <c r="B151" s="15" t="s">
        <v>78</v>
      </c>
      <c r="C151" s="15">
        <v>2</v>
      </c>
      <c r="D151" s="171">
        <f t="shared" si="12"/>
        <v>0.14285714285714285</v>
      </c>
      <c r="E151" s="45"/>
    </row>
    <row r="152" spans="1:8" x14ac:dyDescent="0.3">
      <c r="A152" s="25" t="s">
        <v>102</v>
      </c>
      <c r="B152" s="15" t="s">
        <v>79</v>
      </c>
      <c r="C152" s="15">
        <v>1</v>
      </c>
      <c r="D152" s="171">
        <f t="shared" si="12"/>
        <v>7.1428571428571425E-2</v>
      </c>
    </row>
    <row r="153" spans="1:8" x14ac:dyDescent="0.3">
      <c r="A153" s="25" t="s">
        <v>107</v>
      </c>
      <c r="B153" s="15" t="s">
        <v>81</v>
      </c>
      <c r="C153" s="15">
        <v>2</v>
      </c>
      <c r="D153" s="171">
        <f t="shared" si="12"/>
        <v>0.14285714285714285</v>
      </c>
    </row>
    <row r="154" spans="1:8" ht="14.5" thickBot="1" x14ac:dyDescent="0.35">
      <c r="A154" s="34" t="s">
        <v>108</v>
      </c>
      <c r="B154" s="24" t="s">
        <v>81</v>
      </c>
      <c r="C154" s="24">
        <v>1</v>
      </c>
      <c r="D154" s="228">
        <f t="shared" si="12"/>
        <v>7.1428571428571425E-2</v>
      </c>
    </row>
    <row r="155" spans="1:8" x14ac:dyDescent="0.3">
      <c r="A155" s="37"/>
      <c r="B155" s="37"/>
      <c r="C155" s="37"/>
      <c r="D155" s="229"/>
    </row>
    <row r="156" spans="1:8" x14ac:dyDescent="0.3">
      <c r="A156" s="37"/>
      <c r="B156" s="37"/>
      <c r="C156" s="37"/>
      <c r="D156" s="229"/>
    </row>
    <row r="157" spans="1:8" x14ac:dyDescent="0.3">
      <c r="A157" s="37"/>
      <c r="B157" s="37"/>
      <c r="C157" s="37"/>
      <c r="D157" s="229"/>
    </row>
    <row r="158" spans="1:8" x14ac:dyDescent="0.3">
      <c r="A158" s="37"/>
      <c r="B158" s="37"/>
      <c r="C158" s="37"/>
      <c r="D158" s="229"/>
    </row>
    <row r="159" spans="1:8" x14ac:dyDescent="0.3">
      <c r="A159" s="37"/>
      <c r="B159" s="37"/>
      <c r="C159" s="37"/>
      <c r="D159" s="229"/>
    </row>
    <row r="160" spans="1:8" x14ac:dyDescent="0.3">
      <c r="A160" s="37"/>
      <c r="B160" s="37"/>
      <c r="C160" s="37"/>
      <c r="D160" s="229"/>
    </row>
    <row r="161" spans="1:8" x14ac:dyDescent="0.3">
      <c r="A161" s="37"/>
      <c r="B161" s="37"/>
      <c r="C161" s="37"/>
      <c r="D161" s="229"/>
    </row>
    <row r="162" spans="1:8" x14ac:dyDescent="0.3">
      <c r="A162" s="37"/>
      <c r="B162" s="37"/>
      <c r="C162" s="37"/>
      <c r="D162" s="229"/>
    </row>
    <row r="163" spans="1:8" x14ac:dyDescent="0.3">
      <c r="A163" s="37"/>
      <c r="B163" s="37"/>
      <c r="C163" s="37"/>
      <c r="D163" s="229"/>
    </row>
    <row r="164" spans="1:8" x14ac:dyDescent="0.3">
      <c r="A164" s="37"/>
      <c r="B164" s="37"/>
      <c r="C164" s="37"/>
      <c r="D164" s="229"/>
    </row>
    <row r="165" spans="1:8" x14ac:dyDescent="0.3">
      <c r="A165" s="37"/>
      <c r="B165" s="37"/>
      <c r="C165" s="37"/>
      <c r="D165" s="229"/>
    </row>
    <row r="166" spans="1:8" x14ac:dyDescent="0.3">
      <c r="A166" s="37"/>
      <c r="B166" s="37"/>
      <c r="C166" s="37"/>
      <c r="D166" s="229"/>
    </row>
    <row r="167" spans="1:8" x14ac:dyDescent="0.3">
      <c r="C167" s="17"/>
    </row>
    <row r="168" spans="1:8" x14ac:dyDescent="0.3">
      <c r="C168" s="17"/>
    </row>
    <row r="169" spans="1:8" x14ac:dyDescent="0.3">
      <c r="C169" s="17"/>
    </row>
    <row r="170" spans="1:8" x14ac:dyDescent="0.3">
      <c r="C170" s="17"/>
    </row>
    <row r="171" spans="1:8" ht="14.5" thickBot="1" x14ac:dyDescent="0.35"/>
    <row r="172" spans="1:8" x14ac:dyDescent="0.3">
      <c r="A172" s="8" t="s">
        <v>119</v>
      </c>
      <c r="B172" s="73" t="s">
        <v>68</v>
      </c>
      <c r="C172" s="9" t="s">
        <v>49</v>
      </c>
      <c r="D172" s="57" t="s">
        <v>50</v>
      </c>
      <c r="F172" s="163" t="s">
        <v>120</v>
      </c>
      <c r="G172" s="9" t="s">
        <v>114</v>
      </c>
      <c r="H172" s="58" t="s">
        <v>50</v>
      </c>
    </row>
    <row r="173" spans="1:8" s="1" customFormat="1" x14ac:dyDescent="0.3">
      <c r="A173" s="25" t="s">
        <v>71</v>
      </c>
      <c r="B173" s="15" t="s">
        <v>72</v>
      </c>
      <c r="C173" s="41">
        <v>30</v>
      </c>
      <c r="D173" s="171">
        <f>C173/67</f>
        <v>0.44776119402985076</v>
      </c>
      <c r="F173" s="25" t="s">
        <v>72</v>
      </c>
      <c r="G173" s="15">
        <v>43</v>
      </c>
      <c r="H173" s="171">
        <f t="shared" ref="H173:H177" si="13">G173/67</f>
        <v>0.64179104477611937</v>
      </c>
    </row>
    <row r="174" spans="1:8" x14ac:dyDescent="0.3">
      <c r="A174" s="25" t="s">
        <v>73</v>
      </c>
      <c r="B174" s="15" t="s">
        <v>72</v>
      </c>
      <c r="C174" s="41">
        <v>2</v>
      </c>
      <c r="D174" s="171">
        <f t="shared" ref="D174:D186" si="14">C174/67</f>
        <v>2.9850746268656716E-2</v>
      </c>
      <c r="E174" s="45"/>
      <c r="F174" s="99" t="s">
        <v>76</v>
      </c>
      <c r="G174" s="15">
        <v>3</v>
      </c>
      <c r="H174" s="171">
        <v>0.05</v>
      </c>
    </row>
    <row r="175" spans="1:8" x14ac:dyDescent="0.3">
      <c r="A175" s="25" t="s">
        <v>75</v>
      </c>
      <c r="B175" s="15" t="s">
        <v>72</v>
      </c>
      <c r="C175" s="41">
        <v>10</v>
      </c>
      <c r="D175" s="171">
        <f t="shared" si="14"/>
        <v>0.14925373134328357</v>
      </c>
      <c r="E175" s="45"/>
      <c r="F175" s="25" t="s">
        <v>78</v>
      </c>
      <c r="G175" s="15">
        <v>2</v>
      </c>
      <c r="H175" s="171">
        <f t="shared" si="13"/>
        <v>2.9850746268656716E-2</v>
      </c>
    </row>
    <row r="176" spans="1:8" x14ac:dyDescent="0.3">
      <c r="A176" s="25" t="s">
        <v>77</v>
      </c>
      <c r="B176" s="15" t="s">
        <v>72</v>
      </c>
      <c r="C176" s="41">
        <v>1</v>
      </c>
      <c r="D176" s="171">
        <f t="shared" si="14"/>
        <v>1.4925373134328358E-2</v>
      </c>
      <c r="E176" s="45"/>
      <c r="F176" s="25" t="s">
        <v>79</v>
      </c>
      <c r="G176" s="15">
        <v>10</v>
      </c>
      <c r="H176" s="171">
        <f t="shared" si="13"/>
        <v>0.14925373134328357</v>
      </c>
    </row>
    <row r="177" spans="1:8" ht="14.5" thickBot="1" x14ac:dyDescent="0.35">
      <c r="A177" s="25" t="s">
        <v>85</v>
      </c>
      <c r="B177" s="15" t="s">
        <v>76</v>
      </c>
      <c r="C177" s="41">
        <v>2</v>
      </c>
      <c r="D177" s="171">
        <f t="shared" si="14"/>
        <v>2.9850746268656716E-2</v>
      </c>
      <c r="E177" s="45"/>
      <c r="F177" s="34" t="s">
        <v>81</v>
      </c>
      <c r="G177" s="24">
        <v>9</v>
      </c>
      <c r="H177" s="228">
        <f t="shared" si="13"/>
        <v>0.13432835820895522</v>
      </c>
    </row>
    <row r="178" spans="1:8" x14ac:dyDescent="0.3">
      <c r="A178" s="25" t="s">
        <v>86</v>
      </c>
      <c r="B178" s="15" t="s">
        <v>76</v>
      </c>
      <c r="C178" s="41">
        <v>1</v>
      </c>
      <c r="D178" s="171">
        <f t="shared" si="14"/>
        <v>1.4925373134328358E-2</v>
      </c>
      <c r="E178" s="45"/>
      <c r="F178" s="37"/>
      <c r="H178" s="17"/>
    </row>
    <row r="179" spans="1:8" x14ac:dyDescent="0.3">
      <c r="A179" s="25" t="s">
        <v>96</v>
      </c>
      <c r="B179" s="15" t="s">
        <v>78</v>
      </c>
      <c r="C179" s="41">
        <v>2</v>
      </c>
      <c r="D179" s="171">
        <f t="shared" si="14"/>
        <v>2.9850746268656716E-2</v>
      </c>
      <c r="E179" s="45"/>
    </row>
    <row r="180" spans="1:8" x14ac:dyDescent="0.3">
      <c r="A180" s="25" t="s">
        <v>118</v>
      </c>
      <c r="B180" s="15" t="s">
        <v>79</v>
      </c>
      <c r="C180" s="41">
        <v>1</v>
      </c>
      <c r="D180" s="171">
        <f t="shared" si="14"/>
        <v>1.4925373134328358E-2</v>
      </c>
    </row>
    <row r="181" spans="1:8" x14ac:dyDescent="0.3">
      <c r="A181" s="25" t="s">
        <v>102</v>
      </c>
      <c r="B181" s="15" t="s">
        <v>79</v>
      </c>
      <c r="C181" s="41">
        <v>1</v>
      </c>
      <c r="D181" s="171">
        <f t="shared" si="14"/>
        <v>1.4925373134328358E-2</v>
      </c>
    </row>
    <row r="182" spans="1:8" x14ac:dyDescent="0.3">
      <c r="A182" s="25" t="s">
        <v>103</v>
      </c>
      <c r="B182" s="15" t="s">
        <v>79</v>
      </c>
      <c r="C182" s="41">
        <v>4</v>
      </c>
      <c r="D182" s="171">
        <f t="shared" si="14"/>
        <v>5.9701492537313432E-2</v>
      </c>
    </row>
    <row r="183" spans="1:8" x14ac:dyDescent="0.3">
      <c r="A183" s="25" t="s">
        <v>104</v>
      </c>
      <c r="B183" s="15" t="s">
        <v>79</v>
      </c>
      <c r="C183" s="41">
        <v>4</v>
      </c>
      <c r="D183" s="171">
        <f t="shared" si="14"/>
        <v>5.9701492537313432E-2</v>
      </c>
    </row>
    <row r="184" spans="1:8" x14ac:dyDescent="0.3">
      <c r="A184" s="25" t="s">
        <v>138</v>
      </c>
      <c r="B184" s="15" t="s">
        <v>81</v>
      </c>
      <c r="C184" s="41">
        <v>2</v>
      </c>
      <c r="D184" s="171">
        <f t="shared" si="14"/>
        <v>2.9850746268656716E-2</v>
      </c>
    </row>
    <row r="185" spans="1:8" x14ac:dyDescent="0.3">
      <c r="A185" s="25" t="s">
        <v>106</v>
      </c>
      <c r="B185" s="15" t="s">
        <v>81</v>
      </c>
      <c r="C185" s="41">
        <v>5</v>
      </c>
      <c r="D185" s="171">
        <f t="shared" si="14"/>
        <v>7.4626865671641784E-2</v>
      </c>
    </row>
    <row r="186" spans="1:8" x14ac:dyDescent="0.3">
      <c r="A186" s="25" t="s">
        <v>107</v>
      </c>
      <c r="B186" s="15" t="s">
        <v>81</v>
      </c>
      <c r="C186" s="41">
        <v>2</v>
      </c>
      <c r="D186" s="171">
        <f t="shared" si="14"/>
        <v>2.9850746268656716E-2</v>
      </c>
    </row>
    <row r="187" spans="1:8" ht="14.5" thickBot="1" x14ac:dyDescent="0.35">
      <c r="A187" s="34" t="s">
        <v>109</v>
      </c>
      <c r="B187" s="24" t="s">
        <v>125</v>
      </c>
      <c r="C187" s="72">
        <v>1</v>
      </c>
      <c r="D187" s="169" t="s">
        <v>111</v>
      </c>
    </row>
    <row r="188" spans="1:8" x14ac:dyDescent="0.3">
      <c r="A188" s="37"/>
      <c r="B188" s="37"/>
      <c r="C188" s="138"/>
      <c r="D188" s="219"/>
    </row>
    <row r="189" spans="1:8" x14ac:dyDescent="0.3">
      <c r="A189" s="37"/>
      <c r="B189" s="37"/>
      <c r="C189" s="138"/>
      <c r="D189" s="219"/>
    </row>
    <row r="190" spans="1:8" x14ac:dyDescent="0.3">
      <c r="A190" s="37"/>
      <c r="B190" s="37"/>
      <c r="C190" s="138"/>
      <c r="D190" s="219"/>
    </row>
    <row r="191" spans="1:8" x14ac:dyDescent="0.3">
      <c r="A191" s="37"/>
      <c r="B191" s="37"/>
      <c r="C191" s="138"/>
      <c r="D191" s="219"/>
    </row>
    <row r="192" spans="1:8" x14ac:dyDescent="0.3">
      <c r="A192" s="37"/>
      <c r="B192" s="37"/>
      <c r="C192" s="138"/>
      <c r="D192" s="219"/>
    </row>
    <row r="193" spans="1:8" x14ac:dyDescent="0.3">
      <c r="A193" s="37"/>
      <c r="B193" s="37"/>
      <c r="C193" s="138"/>
      <c r="D193" s="219"/>
    </row>
    <row r="194" spans="1:8" x14ac:dyDescent="0.3">
      <c r="A194" s="37"/>
      <c r="B194" s="37"/>
      <c r="C194" s="138"/>
      <c r="D194" s="219"/>
    </row>
    <row r="195" spans="1:8" x14ac:dyDescent="0.3">
      <c r="A195" s="37"/>
      <c r="B195" s="37"/>
      <c r="C195" s="138"/>
      <c r="D195" s="219"/>
    </row>
    <row r="196" spans="1:8" x14ac:dyDescent="0.3">
      <c r="C196" s="17"/>
    </row>
    <row r="197" spans="1:8" x14ac:dyDescent="0.3">
      <c r="C197" s="17"/>
    </row>
    <row r="198" spans="1:8" x14ac:dyDescent="0.3">
      <c r="C198" s="17"/>
    </row>
    <row r="199" spans="1:8" x14ac:dyDescent="0.3">
      <c r="C199" s="17"/>
    </row>
    <row r="200" spans="1:8" ht="14.5" thickBot="1" x14ac:dyDescent="0.35">
      <c r="C200" s="17"/>
    </row>
    <row r="201" spans="1:8" x14ac:dyDescent="0.3">
      <c r="A201" s="8" t="s">
        <v>126</v>
      </c>
      <c r="B201" s="9" t="s">
        <v>68</v>
      </c>
      <c r="C201" s="9" t="s">
        <v>49</v>
      </c>
      <c r="D201" s="58" t="s">
        <v>50</v>
      </c>
      <c r="F201" s="163" t="s">
        <v>127</v>
      </c>
      <c r="G201" s="9" t="s">
        <v>114</v>
      </c>
      <c r="H201" s="58" t="s">
        <v>50</v>
      </c>
    </row>
    <row r="202" spans="1:8" x14ac:dyDescent="0.3">
      <c r="A202" s="25" t="s">
        <v>71</v>
      </c>
      <c r="B202" s="15" t="s">
        <v>72</v>
      </c>
      <c r="C202" s="15">
        <v>7</v>
      </c>
      <c r="D202" s="171">
        <f>C202/247</f>
        <v>2.8340080971659919E-2</v>
      </c>
      <c r="F202" s="25" t="s">
        <v>72</v>
      </c>
      <c r="G202" s="15">
        <v>16</v>
      </c>
      <c r="H202" s="171">
        <f t="shared" ref="H202:H207" si="15">G202/247</f>
        <v>6.4777327935222673E-2</v>
      </c>
    </row>
    <row r="203" spans="1:8" s="1" customFormat="1" ht="11.65" customHeight="1" x14ac:dyDescent="0.3">
      <c r="A203" s="25" t="s">
        <v>75</v>
      </c>
      <c r="B203" s="15" t="s">
        <v>72</v>
      </c>
      <c r="C203" s="15">
        <v>7</v>
      </c>
      <c r="D203" s="171">
        <f t="shared" ref="D203:D225" si="16">C203/247</f>
        <v>2.8340080971659919E-2</v>
      </c>
      <c r="F203" s="25" t="s">
        <v>74</v>
      </c>
      <c r="G203" s="15">
        <v>2</v>
      </c>
      <c r="H203" s="171">
        <f t="shared" si="15"/>
        <v>8.0971659919028341E-3</v>
      </c>
    </row>
    <row r="204" spans="1:8" x14ac:dyDescent="0.3">
      <c r="A204" s="47" t="s">
        <v>77</v>
      </c>
      <c r="B204" s="15" t="s">
        <v>72</v>
      </c>
      <c r="C204" s="15">
        <v>2</v>
      </c>
      <c r="D204" s="171">
        <f t="shared" si="16"/>
        <v>8.0971659919028341E-3</v>
      </c>
      <c r="E204" s="45"/>
      <c r="F204" s="25" t="s">
        <v>76</v>
      </c>
      <c r="G204" s="15">
        <v>50</v>
      </c>
      <c r="H204" s="171">
        <f t="shared" si="15"/>
        <v>0.20242914979757085</v>
      </c>
    </row>
    <row r="205" spans="1:8" x14ac:dyDescent="0.3">
      <c r="A205" s="47" t="s">
        <v>74</v>
      </c>
      <c r="B205" s="41" t="s">
        <v>74</v>
      </c>
      <c r="C205" s="15">
        <v>2</v>
      </c>
      <c r="D205" s="171">
        <f t="shared" si="16"/>
        <v>8.0971659919028341E-3</v>
      </c>
      <c r="E205" s="45"/>
      <c r="F205" s="25" t="s">
        <v>78</v>
      </c>
      <c r="G205" s="15">
        <v>56</v>
      </c>
      <c r="H205" s="171">
        <f t="shared" si="15"/>
        <v>0.22672064777327935</v>
      </c>
    </row>
    <row r="206" spans="1:8" x14ac:dyDescent="0.3">
      <c r="A206" s="47" t="s">
        <v>115</v>
      </c>
      <c r="B206" s="15" t="s">
        <v>76</v>
      </c>
      <c r="C206" s="15">
        <v>9</v>
      </c>
      <c r="D206" s="171">
        <f t="shared" si="16"/>
        <v>3.643724696356275E-2</v>
      </c>
      <c r="E206" s="45"/>
      <c r="F206" s="25" t="s">
        <v>79</v>
      </c>
      <c r="G206" s="15">
        <v>62</v>
      </c>
      <c r="H206" s="171">
        <f t="shared" si="15"/>
        <v>0.25101214574898784</v>
      </c>
    </row>
    <row r="207" spans="1:8" ht="14.5" thickBot="1" x14ac:dyDescent="0.35">
      <c r="A207" s="47" t="s">
        <v>85</v>
      </c>
      <c r="B207" s="15" t="s">
        <v>76</v>
      </c>
      <c r="C207" s="15">
        <v>1</v>
      </c>
      <c r="D207" s="171">
        <f t="shared" si="16"/>
        <v>4.048582995951417E-3</v>
      </c>
      <c r="E207" s="45"/>
      <c r="F207" s="34" t="s">
        <v>81</v>
      </c>
      <c r="G207" s="24">
        <v>61</v>
      </c>
      <c r="H207" s="228">
        <f t="shared" si="15"/>
        <v>0.24696356275303644</v>
      </c>
    </row>
    <row r="208" spans="1:8" x14ac:dyDescent="0.3">
      <c r="A208" s="47" t="s">
        <v>87</v>
      </c>
      <c r="B208" s="15" t="s">
        <v>76</v>
      </c>
      <c r="C208" s="15">
        <v>6</v>
      </c>
      <c r="D208" s="171">
        <f t="shared" si="16"/>
        <v>2.4291497975708502E-2</v>
      </c>
      <c r="E208" s="45"/>
    </row>
    <row r="209" spans="1:5" x14ac:dyDescent="0.3">
      <c r="A209" s="47" t="s">
        <v>88</v>
      </c>
      <c r="B209" s="15" t="s">
        <v>76</v>
      </c>
      <c r="C209" s="15">
        <v>2</v>
      </c>
      <c r="D209" s="171">
        <f t="shared" si="16"/>
        <v>8.0971659919028341E-3</v>
      </c>
      <c r="E209" s="45"/>
    </row>
    <row r="210" spans="1:5" x14ac:dyDescent="0.3">
      <c r="A210" s="47" t="s">
        <v>90</v>
      </c>
      <c r="B210" s="15" t="s">
        <v>76</v>
      </c>
      <c r="C210" s="15">
        <v>18</v>
      </c>
      <c r="D210" s="171">
        <f t="shared" si="16"/>
        <v>7.28744939271255E-2</v>
      </c>
      <c r="E210" s="45"/>
    </row>
    <row r="211" spans="1:5" x14ac:dyDescent="0.3">
      <c r="A211" s="47" t="s">
        <v>91</v>
      </c>
      <c r="B211" s="15" t="s">
        <v>76</v>
      </c>
      <c r="C211" s="15">
        <v>5</v>
      </c>
      <c r="D211" s="171">
        <f t="shared" si="16"/>
        <v>2.0242914979757085E-2</v>
      </c>
      <c r="E211" s="45"/>
    </row>
    <row r="212" spans="1:5" x14ac:dyDescent="0.3">
      <c r="A212" s="25" t="s">
        <v>92</v>
      </c>
      <c r="B212" s="15" t="s">
        <v>76</v>
      </c>
      <c r="C212" s="15">
        <v>6</v>
      </c>
      <c r="D212" s="171">
        <f t="shared" si="16"/>
        <v>2.4291497975708502E-2</v>
      </c>
    </row>
    <row r="213" spans="1:5" x14ac:dyDescent="0.3">
      <c r="A213" s="25" t="s">
        <v>93</v>
      </c>
      <c r="B213" s="15" t="s">
        <v>76</v>
      </c>
      <c r="C213" s="15">
        <v>3</v>
      </c>
      <c r="D213" s="171">
        <f t="shared" si="16"/>
        <v>1.2145748987854251E-2</v>
      </c>
    </row>
    <row r="214" spans="1:5" x14ac:dyDescent="0.3">
      <c r="A214" s="47" t="s">
        <v>94</v>
      </c>
      <c r="B214" s="15" t="s">
        <v>78</v>
      </c>
      <c r="C214" s="15">
        <v>4</v>
      </c>
      <c r="D214" s="171">
        <f t="shared" si="16"/>
        <v>1.6194331983805668E-2</v>
      </c>
    </row>
    <row r="215" spans="1:5" x14ac:dyDescent="0.3">
      <c r="A215" s="47" t="s">
        <v>95</v>
      </c>
      <c r="B215" s="15" t="s">
        <v>78</v>
      </c>
      <c r="C215" s="15">
        <v>16</v>
      </c>
      <c r="D215" s="171">
        <f t="shared" si="16"/>
        <v>6.4777327935222673E-2</v>
      </c>
    </row>
    <row r="216" spans="1:5" x14ac:dyDescent="0.3">
      <c r="A216" s="47" t="s">
        <v>96</v>
      </c>
      <c r="B216" s="15" t="s">
        <v>78</v>
      </c>
      <c r="C216" s="15">
        <v>36</v>
      </c>
      <c r="D216" s="171">
        <f t="shared" si="16"/>
        <v>0.145748987854251</v>
      </c>
    </row>
    <row r="217" spans="1:5" x14ac:dyDescent="0.3">
      <c r="A217" s="47" t="s">
        <v>97</v>
      </c>
      <c r="B217" s="15" t="s">
        <v>79</v>
      </c>
      <c r="C217" s="15">
        <v>27</v>
      </c>
      <c r="D217" s="171">
        <f t="shared" si="16"/>
        <v>0.10931174089068826</v>
      </c>
    </row>
    <row r="218" spans="1:5" x14ac:dyDescent="0.3">
      <c r="A218" s="47" t="s">
        <v>99</v>
      </c>
      <c r="B218" s="15" t="s">
        <v>79</v>
      </c>
      <c r="C218" s="15">
        <v>8</v>
      </c>
      <c r="D218" s="171">
        <f t="shared" si="16"/>
        <v>3.2388663967611336E-2</v>
      </c>
    </row>
    <row r="219" spans="1:5" x14ac:dyDescent="0.3">
      <c r="A219" s="47" t="s">
        <v>100</v>
      </c>
      <c r="B219" s="15" t="s">
        <v>79</v>
      </c>
      <c r="C219" s="15">
        <v>8</v>
      </c>
      <c r="D219" s="171">
        <f t="shared" si="16"/>
        <v>3.2388663967611336E-2</v>
      </c>
    </row>
    <row r="220" spans="1:5" x14ac:dyDescent="0.3">
      <c r="A220" s="47" t="s">
        <v>101</v>
      </c>
      <c r="B220" s="15" t="s">
        <v>79</v>
      </c>
      <c r="C220" s="15">
        <v>9</v>
      </c>
      <c r="D220" s="171">
        <f t="shared" si="16"/>
        <v>3.643724696356275E-2</v>
      </c>
    </row>
    <row r="221" spans="1:5" x14ac:dyDescent="0.3">
      <c r="A221" s="47" t="s">
        <v>102</v>
      </c>
      <c r="B221" s="15" t="s">
        <v>79</v>
      </c>
      <c r="C221" s="15">
        <v>8</v>
      </c>
      <c r="D221" s="171">
        <f t="shared" si="16"/>
        <v>3.2388663967611336E-2</v>
      </c>
    </row>
    <row r="222" spans="1:5" x14ac:dyDescent="0.3">
      <c r="A222" s="47" t="s">
        <v>103</v>
      </c>
      <c r="B222" s="15" t="s">
        <v>79</v>
      </c>
      <c r="C222" s="15">
        <v>2</v>
      </c>
      <c r="D222" s="171">
        <f t="shared" si="16"/>
        <v>8.0971659919028341E-3</v>
      </c>
    </row>
    <row r="223" spans="1:5" x14ac:dyDescent="0.3">
      <c r="A223" s="47" t="s">
        <v>106</v>
      </c>
      <c r="B223" s="15" t="s">
        <v>81</v>
      </c>
      <c r="C223" s="15">
        <v>2</v>
      </c>
      <c r="D223" s="171">
        <f t="shared" si="16"/>
        <v>8.0971659919028341E-3</v>
      </c>
    </row>
    <row r="224" spans="1:5" x14ac:dyDescent="0.3">
      <c r="A224" s="25" t="s">
        <v>107</v>
      </c>
      <c r="B224" s="15" t="s">
        <v>81</v>
      </c>
      <c r="C224" s="15">
        <v>44</v>
      </c>
      <c r="D224" s="171">
        <f t="shared" si="16"/>
        <v>0.17813765182186234</v>
      </c>
    </row>
    <row r="225" spans="1:8" x14ac:dyDescent="0.3">
      <c r="A225" s="25" t="s">
        <v>108</v>
      </c>
      <c r="B225" s="15" t="s">
        <v>81</v>
      </c>
      <c r="C225" s="15">
        <v>15</v>
      </c>
      <c r="D225" s="171">
        <f t="shared" si="16"/>
        <v>6.0728744939271252E-2</v>
      </c>
    </row>
    <row r="226" spans="1:8" ht="14.5" thickBot="1" x14ac:dyDescent="0.35">
      <c r="A226" s="34" t="s">
        <v>130</v>
      </c>
      <c r="B226" s="24" t="s">
        <v>125</v>
      </c>
      <c r="C226" s="24">
        <v>13</v>
      </c>
      <c r="D226" s="169" t="s">
        <v>111</v>
      </c>
    </row>
    <row r="227" spans="1:8" x14ac:dyDescent="0.3">
      <c r="A227" s="37"/>
      <c r="B227" s="37"/>
      <c r="C227" s="37"/>
      <c r="D227" s="219"/>
    </row>
    <row r="228" spans="1:8" x14ac:dyDescent="0.3">
      <c r="C228" s="17"/>
    </row>
    <row r="229" spans="1:8" x14ac:dyDescent="0.3">
      <c r="C229" s="17"/>
    </row>
    <row r="230" spans="1:8" ht="14.5" thickBot="1" x14ac:dyDescent="0.35">
      <c r="F230" s="14"/>
    </row>
    <row r="231" spans="1:8" x14ac:dyDescent="0.3">
      <c r="A231" s="8" t="s">
        <v>131</v>
      </c>
      <c r="B231" s="9" t="s">
        <v>68</v>
      </c>
      <c r="C231" s="9" t="s">
        <v>49</v>
      </c>
      <c r="D231" s="58" t="s">
        <v>50</v>
      </c>
      <c r="F231" s="163" t="s">
        <v>132</v>
      </c>
      <c r="G231" s="9" t="s">
        <v>114</v>
      </c>
      <c r="H231" s="58" t="s">
        <v>50</v>
      </c>
    </row>
    <row r="232" spans="1:8" x14ac:dyDescent="0.3">
      <c r="A232" s="25" t="s">
        <v>71</v>
      </c>
      <c r="B232" s="15" t="s">
        <v>72</v>
      </c>
      <c r="C232" s="15">
        <v>19</v>
      </c>
      <c r="D232" s="171">
        <f>C232/174</f>
        <v>0.10919540229885058</v>
      </c>
      <c r="F232" s="25" t="s">
        <v>72</v>
      </c>
      <c r="G232" s="15">
        <v>41</v>
      </c>
      <c r="H232" s="171">
        <f t="shared" ref="H232:H237" si="17">G232/174</f>
        <v>0.23563218390804597</v>
      </c>
    </row>
    <row r="233" spans="1:8" s="1" customFormat="1" x14ac:dyDescent="0.3">
      <c r="A233" s="25" t="s">
        <v>73</v>
      </c>
      <c r="B233" s="15" t="s">
        <v>72</v>
      </c>
      <c r="C233" s="15">
        <v>2</v>
      </c>
      <c r="D233" s="171">
        <f t="shared" ref="D233:D257" si="18">C233/174</f>
        <v>1.1494252873563218E-2</v>
      </c>
      <c r="F233" s="25" t="s">
        <v>74</v>
      </c>
      <c r="G233" s="15">
        <v>3</v>
      </c>
      <c r="H233" s="171">
        <f t="shared" si="17"/>
        <v>1.7241379310344827E-2</v>
      </c>
    </row>
    <row r="234" spans="1:8" x14ac:dyDescent="0.3">
      <c r="A234" s="25" t="s">
        <v>75</v>
      </c>
      <c r="B234" s="15" t="s">
        <v>72</v>
      </c>
      <c r="C234" s="15">
        <v>18</v>
      </c>
      <c r="D234" s="171">
        <f t="shared" si="18"/>
        <v>0.10344827586206896</v>
      </c>
      <c r="E234" s="45"/>
      <c r="F234" s="99" t="s">
        <v>76</v>
      </c>
      <c r="G234" s="15">
        <v>39</v>
      </c>
      <c r="H234" s="171">
        <f t="shared" si="17"/>
        <v>0.22413793103448276</v>
      </c>
    </row>
    <row r="235" spans="1:8" x14ac:dyDescent="0.3">
      <c r="A235" s="25" t="s">
        <v>77</v>
      </c>
      <c r="B235" s="15" t="s">
        <v>72</v>
      </c>
      <c r="C235" s="15">
        <v>2</v>
      </c>
      <c r="D235" s="171">
        <f t="shared" si="18"/>
        <v>1.1494252873563218E-2</v>
      </c>
      <c r="E235" s="45"/>
      <c r="F235" s="25" t="s">
        <v>78</v>
      </c>
      <c r="G235" s="15">
        <v>12</v>
      </c>
      <c r="H235" s="171">
        <f t="shared" si="17"/>
        <v>6.8965517241379309E-2</v>
      </c>
    </row>
    <row r="236" spans="1:8" x14ac:dyDescent="0.3">
      <c r="A236" s="25" t="s">
        <v>74</v>
      </c>
      <c r="B236" s="15" t="s">
        <v>74</v>
      </c>
      <c r="C236" s="15">
        <v>3</v>
      </c>
      <c r="D236" s="171">
        <f t="shared" si="18"/>
        <v>1.7241379310344827E-2</v>
      </c>
      <c r="E236" s="45"/>
      <c r="F236" s="25" t="s">
        <v>79</v>
      </c>
      <c r="G236" s="15">
        <v>21</v>
      </c>
      <c r="H236" s="171">
        <f t="shared" si="17"/>
        <v>0.1206896551724138</v>
      </c>
    </row>
    <row r="237" spans="1:8" ht="14.5" thickBot="1" x14ac:dyDescent="0.35">
      <c r="A237" s="25" t="s">
        <v>115</v>
      </c>
      <c r="B237" s="15" t="s">
        <v>76</v>
      </c>
      <c r="C237" s="15">
        <v>8</v>
      </c>
      <c r="D237" s="171">
        <f t="shared" si="18"/>
        <v>4.5977011494252873E-2</v>
      </c>
      <c r="E237" s="45"/>
      <c r="F237" s="34" t="s">
        <v>81</v>
      </c>
      <c r="G237" s="24">
        <v>58</v>
      </c>
      <c r="H237" s="228">
        <f t="shared" si="17"/>
        <v>0.33333333333333331</v>
      </c>
    </row>
    <row r="238" spans="1:8" x14ac:dyDescent="0.3">
      <c r="A238" s="25" t="s">
        <v>84</v>
      </c>
      <c r="B238" s="15" t="s">
        <v>76</v>
      </c>
      <c r="C238" s="15">
        <v>3</v>
      </c>
      <c r="D238" s="171">
        <f t="shared" si="18"/>
        <v>1.7241379310344827E-2</v>
      </c>
      <c r="E238" s="45"/>
    </row>
    <row r="239" spans="1:8" x14ac:dyDescent="0.3">
      <c r="A239" s="25" t="s">
        <v>86</v>
      </c>
      <c r="B239" s="15" t="s">
        <v>76</v>
      </c>
      <c r="C239" s="15">
        <v>2</v>
      </c>
      <c r="D239" s="171">
        <f t="shared" si="18"/>
        <v>1.1494252873563218E-2</v>
      </c>
      <c r="E239" s="45"/>
    </row>
    <row r="240" spans="1:8" x14ac:dyDescent="0.3">
      <c r="A240" s="25" t="s">
        <v>87</v>
      </c>
      <c r="B240" s="15" t="s">
        <v>76</v>
      </c>
      <c r="C240" s="15">
        <v>6</v>
      </c>
      <c r="D240" s="171">
        <f t="shared" si="18"/>
        <v>3.4482758620689655E-2</v>
      </c>
    </row>
    <row r="241" spans="1:4" x14ac:dyDescent="0.3">
      <c r="A241" s="25" t="s">
        <v>90</v>
      </c>
      <c r="B241" s="15" t="s">
        <v>76</v>
      </c>
      <c r="C241" s="15">
        <v>14</v>
      </c>
      <c r="D241" s="171">
        <f t="shared" si="18"/>
        <v>8.0459770114942528E-2</v>
      </c>
    </row>
    <row r="242" spans="1:4" x14ac:dyDescent="0.3">
      <c r="A242" s="25" t="s">
        <v>91</v>
      </c>
      <c r="B242" s="15" t="s">
        <v>76</v>
      </c>
      <c r="C242" s="15">
        <v>2</v>
      </c>
      <c r="D242" s="171">
        <f t="shared" si="18"/>
        <v>1.1494252873563218E-2</v>
      </c>
    </row>
    <row r="243" spans="1:4" x14ac:dyDescent="0.3">
      <c r="A243" s="25" t="s">
        <v>92</v>
      </c>
      <c r="B243" s="15" t="s">
        <v>76</v>
      </c>
      <c r="C243" s="15">
        <v>1</v>
      </c>
      <c r="D243" s="171">
        <f t="shared" si="18"/>
        <v>5.7471264367816091E-3</v>
      </c>
    </row>
    <row r="244" spans="1:4" x14ac:dyDescent="0.3">
      <c r="A244" s="25" t="s">
        <v>93</v>
      </c>
      <c r="B244" s="15" t="s">
        <v>76</v>
      </c>
      <c r="C244" s="15">
        <v>3</v>
      </c>
      <c r="D244" s="171">
        <f t="shared" si="18"/>
        <v>1.7241379310344827E-2</v>
      </c>
    </row>
    <row r="245" spans="1:4" x14ac:dyDescent="0.3">
      <c r="A245" s="25" t="s">
        <v>94</v>
      </c>
      <c r="B245" s="15" t="s">
        <v>78</v>
      </c>
      <c r="C245" s="15">
        <v>1</v>
      </c>
      <c r="D245" s="171">
        <f t="shared" si="18"/>
        <v>5.7471264367816091E-3</v>
      </c>
    </row>
    <row r="246" spans="1:4" x14ac:dyDescent="0.3">
      <c r="A246" s="25" t="s">
        <v>95</v>
      </c>
      <c r="B246" s="15" t="s">
        <v>78</v>
      </c>
      <c r="C246" s="15">
        <v>5</v>
      </c>
      <c r="D246" s="171">
        <f t="shared" si="18"/>
        <v>2.8735632183908046E-2</v>
      </c>
    </row>
    <row r="247" spans="1:4" x14ac:dyDescent="0.3">
      <c r="A247" s="25" t="s">
        <v>96</v>
      </c>
      <c r="B247" s="15" t="s">
        <v>78</v>
      </c>
      <c r="C247" s="15">
        <v>6</v>
      </c>
      <c r="D247" s="171">
        <f t="shared" si="18"/>
        <v>3.4482758620689655E-2</v>
      </c>
    </row>
    <row r="248" spans="1:4" x14ac:dyDescent="0.3">
      <c r="A248" s="25" t="s">
        <v>97</v>
      </c>
      <c r="B248" s="15" t="s">
        <v>79</v>
      </c>
      <c r="C248" s="15">
        <v>2</v>
      </c>
      <c r="D248" s="171">
        <f t="shared" si="18"/>
        <v>1.1494252873563218E-2</v>
      </c>
    </row>
    <row r="249" spans="1:4" x14ac:dyDescent="0.3">
      <c r="A249" s="25" t="s">
        <v>99</v>
      </c>
      <c r="B249" s="15" t="s">
        <v>79</v>
      </c>
      <c r="C249" s="15">
        <v>7</v>
      </c>
      <c r="D249" s="171">
        <f t="shared" si="18"/>
        <v>4.0229885057471264E-2</v>
      </c>
    </row>
    <row r="250" spans="1:4" x14ac:dyDescent="0.3">
      <c r="A250" s="25" t="s">
        <v>100</v>
      </c>
      <c r="B250" s="15" t="s">
        <v>79</v>
      </c>
      <c r="C250" s="15">
        <v>1</v>
      </c>
      <c r="D250" s="171">
        <f t="shared" si="18"/>
        <v>5.7471264367816091E-3</v>
      </c>
    </row>
    <row r="251" spans="1:4" x14ac:dyDescent="0.3">
      <c r="A251" s="25" t="s">
        <v>101</v>
      </c>
      <c r="B251" s="15" t="s">
        <v>79</v>
      </c>
      <c r="C251" s="15">
        <v>1</v>
      </c>
      <c r="D251" s="171">
        <f t="shared" si="18"/>
        <v>5.7471264367816091E-3</v>
      </c>
    </row>
    <row r="252" spans="1:4" x14ac:dyDescent="0.3">
      <c r="A252" s="25" t="s">
        <v>102</v>
      </c>
      <c r="B252" s="15" t="s">
        <v>79</v>
      </c>
      <c r="C252" s="15">
        <v>3</v>
      </c>
      <c r="D252" s="171">
        <f t="shared" si="18"/>
        <v>1.7241379310344827E-2</v>
      </c>
    </row>
    <row r="253" spans="1:4" x14ac:dyDescent="0.3">
      <c r="A253" s="25" t="s">
        <v>103</v>
      </c>
      <c r="B253" s="15" t="s">
        <v>79</v>
      </c>
      <c r="C253" s="15">
        <v>7</v>
      </c>
      <c r="D253" s="171">
        <f t="shared" si="18"/>
        <v>4.0229885057471264E-2</v>
      </c>
    </row>
    <row r="254" spans="1:4" x14ac:dyDescent="0.3">
      <c r="A254" s="25" t="s">
        <v>138</v>
      </c>
      <c r="B254" s="15" t="s">
        <v>81</v>
      </c>
      <c r="C254" s="15">
        <v>2</v>
      </c>
      <c r="D254" s="171">
        <f t="shared" si="18"/>
        <v>1.1494252873563218E-2</v>
      </c>
    </row>
    <row r="255" spans="1:4" x14ac:dyDescent="0.3">
      <c r="A255" s="25" t="s">
        <v>106</v>
      </c>
      <c r="B255" s="15" t="s">
        <v>81</v>
      </c>
      <c r="C255" s="15">
        <v>5</v>
      </c>
      <c r="D255" s="171">
        <f t="shared" si="18"/>
        <v>2.8735632183908046E-2</v>
      </c>
    </row>
    <row r="256" spans="1:4" x14ac:dyDescent="0.3">
      <c r="A256" s="25" t="s">
        <v>107</v>
      </c>
      <c r="B256" s="15" t="s">
        <v>81</v>
      </c>
      <c r="C256" s="15">
        <v>28</v>
      </c>
      <c r="D256" s="171">
        <f t="shared" si="18"/>
        <v>0.16091954022988506</v>
      </c>
    </row>
    <row r="257" spans="1:4" x14ac:dyDescent="0.3">
      <c r="A257" s="25" t="s">
        <v>133</v>
      </c>
      <c r="B257" s="15" t="s">
        <v>81</v>
      </c>
      <c r="C257" s="15">
        <v>23</v>
      </c>
      <c r="D257" s="171">
        <f t="shared" si="18"/>
        <v>0.13218390804597702</v>
      </c>
    </row>
    <row r="258" spans="1:4" ht="14.5" thickBot="1" x14ac:dyDescent="0.35">
      <c r="A258" s="34" t="s">
        <v>130</v>
      </c>
      <c r="B258" s="24" t="s">
        <v>125</v>
      </c>
      <c r="C258" s="24">
        <v>4</v>
      </c>
      <c r="D258" s="169" t="s">
        <v>111</v>
      </c>
    </row>
  </sheetData>
  <sheetProtection selectLockedCells="1" selectUnlockedCells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0e8e2b-0a1c-4cc4-bff0-09930a5cea29" xsi:nil="true"/>
    <lcf76f155ced4ddcb4097134ff3c332f xmlns="8d0a7b5a-659f-4e38-846a-eada8520f8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DEEDD7A6829D4798379AD417FFEB0F" ma:contentTypeVersion="15" ma:contentTypeDescription="Create a new document." ma:contentTypeScope="" ma:versionID="940d721304779d5bd67d62a31cc46b63">
  <xsd:schema xmlns:xsd="http://www.w3.org/2001/XMLSchema" xmlns:xs="http://www.w3.org/2001/XMLSchema" xmlns:p="http://schemas.microsoft.com/office/2006/metadata/properties" xmlns:ns2="8d0a7b5a-659f-4e38-846a-eada8520f89f" xmlns:ns3="7f0e8e2b-0a1c-4cc4-bff0-09930a5cea29" targetNamespace="http://schemas.microsoft.com/office/2006/metadata/properties" ma:root="true" ma:fieldsID="9d2f779ecb41d33a4a375486a938d382" ns2:_="" ns3:_="">
    <xsd:import namespace="8d0a7b5a-659f-4e38-846a-eada8520f89f"/>
    <xsd:import namespace="7f0e8e2b-0a1c-4cc4-bff0-09930a5cea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a7b5a-659f-4e38-846a-eada8520f8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5ce72b2-2fa2-4114-b357-87efa3ebf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e8e2b-0a1c-4cc4-bff0-09930a5cea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cc6c167-9af6-4eb4-9483-b070c0bdfaf3}" ma:internalName="TaxCatchAll" ma:showField="CatchAllData" ma:web="7f0e8e2b-0a1c-4cc4-bff0-09930a5cea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1AF3A3-73A9-4521-9E1D-B737D31B3F70}">
  <ds:schemaRefs>
    <ds:schemaRef ds:uri="7f0e8e2b-0a1c-4cc4-bff0-09930a5cea29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8d0a7b5a-659f-4e38-846a-eada8520f89f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B235AC8-6F1E-45C6-91F1-D9EA9A35F3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0a7b5a-659f-4e38-846a-eada8520f89f"/>
    <ds:schemaRef ds:uri="7f0e8e2b-0a1c-4cc4-bff0-09930a5cea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5C607E-2F79-4CC5-86FF-9A8B18670D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All local authorities</vt:lpstr>
      <vt:lpstr>East Midlands</vt:lpstr>
      <vt:lpstr>East of England</vt:lpstr>
      <vt:lpstr>Greater London</vt:lpstr>
      <vt:lpstr>North East</vt:lpstr>
      <vt:lpstr>North West</vt:lpstr>
      <vt:lpstr>South East</vt:lpstr>
      <vt:lpstr>South West</vt:lpstr>
      <vt:lpstr>West Midlands</vt:lpstr>
      <vt:lpstr>Yorkshire &amp; Humber</vt:lpstr>
      <vt:lpstr>Scotland</vt:lpstr>
      <vt:lpstr>Immigration status</vt:lpstr>
      <vt:lpstr>List of local authorities</vt:lpstr>
    </vt:vector>
  </TitlesOfParts>
  <Manager/>
  <Company>London Borough of Islington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 Clair Miller, Henry</dc:creator>
  <cp:keywords/>
  <dc:description/>
  <cp:lastModifiedBy>Gill, Samantha</cp:lastModifiedBy>
  <cp:revision/>
  <dcterms:created xsi:type="dcterms:W3CDTF">2021-06-16T07:24:08Z</dcterms:created>
  <dcterms:modified xsi:type="dcterms:W3CDTF">2022-11-30T14:04:48Z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0x01010068DEEDD7A6829D4798379AD417FFEB0F</vt:lpwstr>
  </property>
  <property fmtid="{D5CDD505-2E9C-101B-9397-08002B2CF9AE}" pid="3" name="MediaServiceImageTags">
    <vt:lpwstr/>
  </property>
</Properties>
</file>